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mucohout-my.sharepoint.com/personal/gerard_limuco_nl/Documents/Opdr. Tifas/Suselbeek deuren/171112  Rekenmodule voor Deuren Suselbeek/Deuren massief/"/>
    </mc:Choice>
  </mc:AlternateContent>
  <xr:revisionPtr revIDLastSave="5" documentId="13_ncr:1_{01E34F28-1F33-45F8-AB68-8B6F0A62132F}" xr6:coauthVersionLast="47" xr6:coauthVersionMax="47" xr10:uidLastSave="{82208639-39F0-497A-9BA7-07570FB96F75}"/>
  <workbookProtection workbookAlgorithmName="SHA-512" workbookHashValue="W5TrcNKNc92sMxTLwauSrvQJlxK4LKiRjxSAvwz7agVX6jROjPklLPQrq+M0nr7atLyN65C+KfvEq2csOSRdiA==" workbookSaltValue="e/TSkQ/9ckcn+yakcJkssg==" workbookSpinCount="100000" lockStructure="1"/>
  <bookViews>
    <workbookView xWindow="-25500" yWindow="1305" windowWidth="21600" windowHeight="11295" activeTab="1" xr2:uid="{00000000-000D-0000-FFFF-FFFF00000000}"/>
  </bookViews>
  <sheets>
    <sheet name="Tabel1" sheetId="3" r:id="rId1"/>
    <sheet name="Blad1" sheetId="1" r:id="rId2"/>
    <sheet name="Blad2" sheetId="2" r:id="rId3"/>
  </sheets>
  <definedNames>
    <definedName name="a">Blad1!$AB$2:$AB$4</definedName>
    <definedName name="_xlnm.Print_Area" localSheetId="1">Blad1!$A$1:$Q$79</definedName>
    <definedName name="B">Blad1!$S$2:$S$4</definedName>
    <definedName name="borstw">Blad1!$AC$8:$AC$17</definedName>
    <definedName name="Bree">Blad1!$AA$8:$AA$12</definedName>
    <definedName name="Breed">Blad1!$AA$8:$AA$11</definedName>
    <definedName name="Breed2">Blad1!$AB$8:$AB$10</definedName>
    <definedName name="Bw">Blad1!$AC$8:$AC$16</definedName>
    <definedName name="Bwe">Blad1!$AC$8:$AC$16</definedName>
    <definedName name="d">Blad1!$R$2:$R$4</definedName>
    <definedName name="dekplaat">Blad1!#REF!</definedName>
    <definedName name="di">Blad1!$S$8:$S$11</definedName>
    <definedName name="dik">Blad2!$D$2:$D$5</definedName>
    <definedName name="dikte">Blad1!#REF!</definedName>
    <definedName name="e">Blad1!$S$7:$S$11</definedName>
    <definedName name="ExterneGegevens_1" localSheetId="0" hidden="1">Tabel1!$A$1:$A$16</definedName>
    <definedName name="f">Blad1!$S$7:$S$11</definedName>
    <definedName name="g">Blad1!$X$2:$X$3</definedName>
    <definedName name="ge">Blad1!$AA$8:$AA$11</definedName>
    <definedName name="ger">Blad1!$AA$8:$AA$11</definedName>
    <definedName name="Ho">Blad1!$U$8:$U$13</definedName>
    <definedName name="Hout">Blad1!$U$8:$U$14</definedName>
    <definedName name="I">Blad1!$V$2:$V$4</definedName>
    <definedName name="inhoud">Blad1!#REF!</definedName>
    <definedName name="Isolatie">Blad1!#REF!</definedName>
    <definedName name="jan">Blad2!$C$1:$C$3</definedName>
    <definedName name="KL">Blad1!$S$7:$S$11</definedName>
    <definedName name="klaas">Blad1!$R$1:$R$3</definedName>
    <definedName name="leo">Blad1!$R$2:$R$4</definedName>
    <definedName name="m">Blad1!$S$8:$S$11</definedName>
    <definedName name="onderdorpel">Blad1!#REF!</definedName>
    <definedName name="P">Blad1!$W$2:$W$3</definedName>
    <definedName name="Paneel">Blad1!$AE$7:$AE$22</definedName>
    <definedName name="panel">Blad1!$AE$7:$AE$22</definedName>
    <definedName name="Piet">Blad1!$S$8:$S$11</definedName>
    <definedName name="plaat">Blad1!#REF!</definedName>
    <definedName name="Psi">Blad1!$Z$8:$Z$10</definedName>
    <definedName name="rand">Blad1!#REF!</definedName>
    <definedName name="s">Blad1!#REF!</definedName>
    <definedName name="Sluitstijl">Blad1!#REF!</definedName>
    <definedName name="sluitzijde">Blad1!#REF!</definedName>
    <definedName name="sprosse">Blad1!#REF!</definedName>
    <definedName name="Stapeling">Blad1!$Y$8:$Y$9</definedName>
    <definedName name="T">Blad1!$S$8:$S$11</definedName>
    <definedName name="taal">Blad1!$S$7:$S$11</definedName>
    <definedName name="th">Blad1!$S$8:$S$15</definedName>
    <definedName name="thi">Blad1!$S$8:$S$11</definedName>
    <definedName name="type">Blad1!#REF!</definedName>
    <definedName name="v">Blad1!$V$2:$V$4</definedName>
    <definedName name="vulling">Blad1!#REF!</definedName>
    <definedName name="VV">Blad1!#REF!</definedName>
    <definedName name="w">Blad1!$U$2:$U$3</definedName>
    <definedName name="we">Blad1!$U$2:$U$4</definedName>
    <definedName name="x">Blad1!$AB$2:$AB$3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5" i="1" l="1"/>
  <c r="M21" i="1"/>
  <c r="L85" i="1"/>
  <c r="J85" i="1"/>
  <c r="N84" i="1"/>
  <c r="N83" i="1"/>
  <c r="L82" i="1"/>
  <c r="N82" i="1" s="1"/>
  <c r="N81" i="1"/>
  <c r="P76" i="1" l="1"/>
  <c r="G43" i="1"/>
  <c r="L52" i="1"/>
  <c r="I43" i="1"/>
  <c r="F43" i="1"/>
  <c r="I57" i="1" l="1"/>
  <c r="E62" i="1" l="1"/>
  <c r="I65" i="1" l="1"/>
  <c r="I53" i="1"/>
  <c r="L53" i="1" l="1"/>
  <c r="M26" i="1" l="1"/>
  <c r="I45" i="1" s="1"/>
  <c r="I58" i="1"/>
  <c r="U27" i="1"/>
  <c r="I59" i="1" s="1"/>
  <c r="L70" i="1"/>
  <c r="L51" i="1"/>
  <c r="L63" i="1" s="1"/>
  <c r="M24" i="1"/>
  <c r="L62" i="1"/>
  <c r="L69" i="1"/>
  <c r="S26" i="1"/>
  <c r="Q26" i="1" s="1"/>
  <c r="I60" i="1"/>
  <c r="E61" i="1"/>
  <c r="E63" i="1"/>
  <c r="E60" i="1"/>
  <c r="E59" i="1"/>
  <c r="E58" i="1"/>
  <c r="E57" i="1"/>
  <c r="G45" i="1" l="1"/>
  <c r="G37" i="1"/>
  <c r="I37" i="1"/>
  <c r="G32" i="1"/>
  <c r="K32" i="1" s="1"/>
  <c r="G31" i="1"/>
  <c r="K31" i="1" s="1"/>
  <c r="G33" i="1"/>
  <c r="K33" i="1" s="1"/>
  <c r="I69" i="1"/>
  <c r="O69" i="1" s="1"/>
  <c r="M48" i="1"/>
  <c r="M47" i="1"/>
  <c r="M46" i="1"/>
  <c r="K48" i="1"/>
  <c r="K47" i="1"/>
  <c r="K46" i="1"/>
  <c r="M45" i="1"/>
  <c r="K45" i="1"/>
  <c r="M40" i="1"/>
  <c r="K40" i="1"/>
  <c r="F26" i="1"/>
  <c r="F53" i="1"/>
  <c r="L57" i="1"/>
  <c r="K37" i="1" l="1"/>
  <c r="K34" i="1"/>
  <c r="I61" i="1" s="1"/>
  <c r="K49" i="1"/>
  <c r="I63" i="1" s="1"/>
  <c r="M49" i="1"/>
  <c r="I70" i="1" s="1"/>
  <c r="O70" i="1" s="1"/>
  <c r="L58" i="1"/>
  <c r="L59" i="1"/>
  <c r="L60" i="1"/>
  <c r="L61" i="1"/>
  <c r="M39" i="1" l="1"/>
  <c r="K39" i="1"/>
  <c r="I68" i="1" l="1"/>
  <c r="L68" i="1" l="1"/>
  <c r="O68" i="1" s="1"/>
  <c r="L67" i="1"/>
  <c r="C76" i="1"/>
  <c r="N85" i="1" s="1"/>
  <c r="N86" i="1" s="1"/>
  <c r="P75" i="1" s="1"/>
  <c r="O57" i="1"/>
  <c r="M38" i="1"/>
  <c r="M37" i="1"/>
  <c r="K38" i="1"/>
  <c r="K41" i="1" s="1"/>
  <c r="M41" i="1" l="1"/>
  <c r="I67" i="1" s="1"/>
  <c r="O67" i="1" s="1"/>
  <c r="O71" i="1" s="1"/>
  <c r="I62" i="1"/>
  <c r="O60" i="1"/>
  <c r="O58" i="1"/>
  <c r="O63" i="1"/>
  <c r="O59" i="1"/>
  <c r="O62" i="1" l="1"/>
  <c r="O61" i="1"/>
  <c r="I64" i="1"/>
  <c r="F76" i="1" s="1"/>
  <c r="O64" i="1" l="1"/>
  <c r="C75" i="1" s="1"/>
  <c r="O7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36B1D1-C352-4C42-BEA8-5EDFF2D2487E}" keepAlive="1" name="Query - Tabel1" description="Verbinding maken met de query Tabel1 in de werkmap." type="5" refreshedVersion="8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<sst xmlns="http://schemas.openxmlformats.org/spreadsheetml/2006/main" count="369" uniqueCount="165">
  <si>
    <t>Deur</t>
  </si>
  <si>
    <t>Glasvakken</t>
  </si>
  <si>
    <t>Glas</t>
  </si>
  <si>
    <t>Rechthoekig</t>
  </si>
  <si>
    <t>Psi</t>
  </si>
  <si>
    <t>dikte</t>
  </si>
  <si>
    <t>UITVOER</t>
  </si>
  <si>
    <t xml:space="preserve"> </t>
  </si>
  <si>
    <t xml:space="preserve">Omtrek glas (alle glasvakken) </t>
  </si>
  <si>
    <t xml:space="preserve">Up = </t>
  </si>
  <si>
    <t xml:space="preserve"> mm</t>
  </si>
  <si>
    <t xml:space="preserve"> st </t>
  </si>
  <si>
    <t>A x Uc</t>
  </si>
  <si>
    <t>PROJECTGEGEVENS</t>
  </si>
  <si>
    <t>Project</t>
  </si>
  <si>
    <t>Projectnummer</t>
  </si>
  <si>
    <t>Opdrachtgever</t>
  </si>
  <si>
    <t xml:space="preserve">datum </t>
  </si>
  <si>
    <t>INVOERGEGEVENS</t>
  </si>
  <si>
    <t>mm</t>
  </si>
  <si>
    <t>st</t>
  </si>
  <si>
    <t>breed</t>
  </si>
  <si>
    <t xml:space="preserve">  hoog</t>
  </si>
  <si>
    <t>opp (m2)</t>
  </si>
  <si>
    <t>omtrek (m1)</t>
  </si>
  <si>
    <t>W/m2K</t>
  </si>
  <si>
    <t>W/m1K</t>
  </si>
  <si>
    <t>nee</t>
  </si>
  <si>
    <r>
      <t xml:space="preserve">Uc </t>
    </r>
    <r>
      <rPr>
        <sz val="8"/>
        <color theme="1"/>
        <rFont val="Calibri"/>
        <family val="2"/>
        <scheme val="minor"/>
      </rPr>
      <t>(W/m2K)</t>
    </r>
  </si>
  <si>
    <r>
      <t xml:space="preserve">A </t>
    </r>
    <r>
      <rPr>
        <sz val="8"/>
        <color theme="1"/>
        <rFont val="Calibri"/>
        <family val="2"/>
        <scheme val="minor"/>
      </rPr>
      <t>(m2)</t>
    </r>
  </si>
  <si>
    <r>
      <t xml:space="preserve">b </t>
    </r>
    <r>
      <rPr>
        <sz val="8"/>
        <color theme="1"/>
        <rFont val="Calibri"/>
        <family val="2"/>
        <scheme val="minor"/>
      </rPr>
      <t xml:space="preserve">  </t>
    </r>
  </si>
  <si>
    <t>Ap =</t>
  </si>
  <si>
    <t xml:space="preserve"> m2</t>
  </si>
  <si>
    <t xml:space="preserve"> W/m2K </t>
  </si>
  <si>
    <t xml:space="preserve">  +</t>
  </si>
  <si>
    <t>m1</t>
  </si>
  <si>
    <t>ja</t>
  </si>
  <si>
    <t xml:space="preserve">   +</t>
  </si>
  <si>
    <t>m2</t>
  </si>
  <si>
    <r>
      <rPr>
        <sz val="11"/>
        <color theme="1"/>
        <rFont val="Calibri"/>
        <family val="2"/>
        <scheme val="minor"/>
      </rPr>
      <t xml:space="preserve">l 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(m1)</t>
    </r>
  </si>
  <si>
    <t xml:space="preserve"> (W/K)</t>
  </si>
  <si>
    <t>Totale warmteverlies :</t>
  </si>
  <si>
    <t>Wiener sprossen</t>
  </si>
  <si>
    <t>RESULTATEN</t>
  </si>
  <si>
    <t xml:space="preserve"> Warmteverlies  onderdeel :</t>
  </si>
  <si>
    <t>Lineair warmteverlies :</t>
  </si>
  <si>
    <t xml:space="preserve">BEREKENING Up STAPELDORPEL DEUREN </t>
  </si>
  <si>
    <t>Onderdeel</t>
  </si>
  <si>
    <t xml:space="preserve">Deurstijlen </t>
  </si>
  <si>
    <t>Breedte</t>
  </si>
  <si>
    <t>Bovendorpel</t>
  </si>
  <si>
    <t xml:space="preserve">Borstwering </t>
  </si>
  <si>
    <t>Tussendorpel 150 mm</t>
  </si>
  <si>
    <t xml:space="preserve">Tussenstijlen </t>
  </si>
  <si>
    <t>Tussendorpel afwijkend</t>
  </si>
  <si>
    <t>Tussendorpel dubbel</t>
  </si>
  <si>
    <t>Houtsoort</t>
  </si>
  <si>
    <t>W/mK</t>
  </si>
  <si>
    <t xml:space="preserve">TABEL INVLVARIABELEN </t>
  </si>
  <si>
    <t>Merbau</t>
  </si>
  <si>
    <t>Mahonie</t>
  </si>
  <si>
    <t>Meranti</t>
  </si>
  <si>
    <t>Iroko</t>
  </si>
  <si>
    <t>Accoya</t>
  </si>
  <si>
    <t>Finti</t>
  </si>
  <si>
    <t>Lambda</t>
  </si>
  <si>
    <t>Dikte deurblad</t>
  </si>
  <si>
    <t>Breedte deurblad</t>
  </si>
  <si>
    <t>Hoogte deurblad</t>
  </si>
  <si>
    <t>Stapeling</t>
  </si>
  <si>
    <t>thi</t>
  </si>
  <si>
    <t>Breed</t>
  </si>
  <si>
    <t>Breed2</t>
  </si>
  <si>
    <t>Bw</t>
  </si>
  <si>
    <t>Paneelvakken</t>
  </si>
  <si>
    <t>Up</t>
  </si>
  <si>
    <t>volgestapeld</t>
  </si>
  <si>
    <t>T1</t>
  </si>
  <si>
    <r>
      <rPr>
        <b/>
        <sz val="11"/>
        <color theme="1"/>
        <rFont val="Calibri"/>
        <family val="2"/>
      </rPr>
      <t>ψ</t>
    </r>
    <r>
      <rPr>
        <sz val="8.1"/>
        <color theme="1"/>
        <rFont val="Calibri"/>
        <family val="2"/>
      </rPr>
      <t>gl</t>
    </r>
  </si>
  <si>
    <r>
      <rPr>
        <b/>
        <sz val="11"/>
        <color theme="1"/>
        <rFont val="Calibri"/>
        <family val="2"/>
        <scheme val="minor"/>
      </rPr>
      <t>U</t>
    </r>
    <r>
      <rPr>
        <sz val="9"/>
        <color theme="1"/>
        <rFont val="Calibri"/>
        <family val="2"/>
        <scheme val="minor"/>
      </rPr>
      <t>gl</t>
    </r>
  </si>
  <si>
    <t>Hang/sluit stijl</t>
  </si>
  <si>
    <t>Tussendorpels</t>
  </si>
  <si>
    <t xml:space="preserve">Paneelvakken </t>
  </si>
  <si>
    <t xml:space="preserve">Paneeltype </t>
  </si>
  <si>
    <r>
      <rPr>
        <sz val="11"/>
        <color theme="1"/>
        <rFont val="Calibri"/>
        <family val="2"/>
      </rPr>
      <t>ψ</t>
    </r>
    <r>
      <rPr>
        <sz val="8.1"/>
        <color theme="1"/>
        <rFont val="Calibri"/>
        <family val="2"/>
      </rPr>
      <t>p</t>
    </r>
    <r>
      <rPr>
        <sz val="8"/>
        <color theme="1"/>
        <rFont val="Calibri"/>
        <family val="2"/>
      </rPr>
      <t xml:space="preserve"> </t>
    </r>
  </si>
  <si>
    <t>dik</t>
  </si>
  <si>
    <t>bos</t>
  </si>
  <si>
    <t>Dikte</t>
  </si>
  <si>
    <t>Bossing</t>
  </si>
  <si>
    <t>geen</t>
  </si>
  <si>
    <t>1-zijdig</t>
  </si>
  <si>
    <t>2-zijdig</t>
  </si>
  <si>
    <t xml:space="preserve">Omtrek paneelvakken </t>
  </si>
  <si>
    <t>Tussenstijlen</t>
  </si>
  <si>
    <t xml:space="preserve">  Lengte</t>
  </si>
  <si>
    <r>
      <rPr>
        <b/>
        <sz val="12"/>
        <color theme="1"/>
        <rFont val="Calibri"/>
        <family val="2"/>
      </rPr>
      <t>ψ</t>
    </r>
    <r>
      <rPr>
        <sz val="11"/>
        <color theme="1"/>
        <rFont val="Calibri"/>
        <family val="2"/>
      </rPr>
      <t xml:space="preserve">  </t>
    </r>
    <r>
      <rPr>
        <sz val="9"/>
        <color theme="1"/>
        <rFont val="Calibri"/>
        <family val="2"/>
      </rPr>
      <t>(W/mK)</t>
    </r>
  </si>
  <si>
    <r>
      <t>ψ</t>
    </r>
    <r>
      <rPr>
        <sz val="10"/>
        <color theme="1"/>
        <rFont val="Calibri"/>
        <family val="2"/>
      </rPr>
      <t>sd</t>
    </r>
  </si>
  <si>
    <r>
      <rPr>
        <b/>
        <sz val="11"/>
        <color theme="1"/>
        <rFont val="Calibri"/>
        <family val="2"/>
        <scheme val="minor"/>
      </rPr>
      <t>U</t>
    </r>
    <r>
      <rPr>
        <sz val="10"/>
        <color theme="1"/>
        <rFont val="Calibri"/>
        <family val="2"/>
        <scheme val="minor"/>
      </rPr>
      <t>p</t>
    </r>
    <r>
      <rPr>
        <sz val="9"/>
        <color theme="1"/>
        <rFont val="Calibri"/>
        <family val="2"/>
        <scheme val="minor"/>
      </rPr>
      <t xml:space="preserve"> </t>
    </r>
  </si>
  <si>
    <t>aantal stapelingen :</t>
  </si>
  <si>
    <t>dagbreedte =</t>
  </si>
  <si>
    <t>nvt</t>
  </si>
  <si>
    <t>Borstwering</t>
  </si>
  <si>
    <t>opp</t>
  </si>
  <si>
    <t>stap</t>
  </si>
  <si>
    <t>daghoogte   =</t>
  </si>
  <si>
    <r>
      <rPr>
        <sz val="11"/>
        <color theme="1"/>
        <rFont val="Calibri"/>
        <family val="2"/>
        <scheme val="minor"/>
      </rPr>
      <t xml:space="preserve">l </t>
    </r>
    <r>
      <rPr>
        <sz val="9"/>
        <color theme="1"/>
        <rFont val="Calibri"/>
        <family val="2"/>
        <scheme val="minor"/>
      </rPr>
      <t xml:space="preserve"> x  </t>
    </r>
    <r>
      <rPr>
        <b/>
        <sz val="11"/>
        <color theme="1"/>
        <rFont val="Calibri"/>
        <family val="2"/>
      </rPr>
      <t>ψ</t>
    </r>
  </si>
  <si>
    <t>Multiplex</t>
  </si>
  <si>
    <t>Isolatie</t>
  </si>
  <si>
    <t>hulpberekening voor aantal</t>
  </si>
  <si>
    <t>stapelingen</t>
  </si>
  <si>
    <t xml:space="preserve">Wiener sprosse </t>
  </si>
  <si>
    <t>Stapeling dorpels</t>
  </si>
  <si>
    <t xml:space="preserve"> W/K</t>
  </si>
  <si>
    <t>Tricoya</t>
  </si>
  <si>
    <t>λ = 0,17  W/mK</t>
  </si>
  <si>
    <t>λ = 0,107 W/mK</t>
  </si>
  <si>
    <r>
      <t xml:space="preserve">        </t>
    </r>
    <r>
      <rPr>
        <sz val="9"/>
        <color theme="1"/>
        <rFont val="Calibri"/>
        <family val="2"/>
        <scheme val="minor"/>
      </rPr>
      <t xml:space="preserve">  oppervlakte onderdelen  :</t>
    </r>
  </si>
  <si>
    <r>
      <t xml:space="preserve">        </t>
    </r>
    <r>
      <rPr>
        <sz val="9"/>
        <color theme="1"/>
        <rFont val="Calibri"/>
        <family val="2"/>
        <scheme val="minor"/>
      </rPr>
      <t xml:space="preserve">  bruto oppervlakte                :</t>
    </r>
  </si>
  <si>
    <t xml:space="preserve">             λ = </t>
  </si>
  <si>
    <t xml:space="preserve">Bree </t>
  </si>
  <si>
    <t>borstw</t>
  </si>
  <si>
    <t xml:space="preserve">datum   :  22 Oktober 2018 </t>
  </si>
  <si>
    <t>berekening conform NTA880/2022  en NEN-EN  10077-1:2017  /  NEN-EN 10077-2:2017</t>
  </si>
  <si>
    <t>λ = 0,035 W/mK</t>
  </si>
  <si>
    <t>T101</t>
  </si>
  <si>
    <t>T104</t>
  </si>
  <si>
    <t>T111</t>
  </si>
  <si>
    <t>T114</t>
  </si>
  <si>
    <t>T121</t>
  </si>
  <si>
    <t>T124</t>
  </si>
  <si>
    <t>T132</t>
  </si>
  <si>
    <t>T135</t>
  </si>
  <si>
    <t>T147</t>
  </si>
  <si>
    <t>T157</t>
  </si>
  <si>
    <t>T163</t>
  </si>
  <si>
    <t>T166</t>
  </si>
  <si>
    <t>T178</t>
  </si>
  <si>
    <t>T189</t>
  </si>
  <si>
    <t>Kolom1</t>
  </si>
  <si>
    <t>type</t>
  </si>
  <si>
    <t xml:space="preserve"> in te voeren waarde/naam</t>
  </si>
  <si>
    <t xml:space="preserve"> in te voeren keuze</t>
  </si>
  <si>
    <t xml:space="preserve"> door programma bepaald</t>
  </si>
  <si>
    <t xml:space="preserve"> uitrekenen ahv het model</t>
  </si>
  <si>
    <r>
      <t>U</t>
    </r>
    <r>
      <rPr>
        <b/>
        <sz val="9"/>
        <color theme="1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 xml:space="preserve"> = </t>
    </r>
  </si>
  <si>
    <t>Atot =</t>
  </si>
  <si>
    <t>Bij toepassing in een standaard houten kozijn</t>
  </si>
  <si>
    <t>Afmeting B x H  =  1034 x 2410 mm</t>
  </si>
  <si>
    <t>Kozijnhout afmeting 67 x 114, houtsoort Meranti</t>
  </si>
  <si>
    <t>Kozijndorpel Holonite</t>
  </si>
  <si>
    <t>Kozijnhoogte</t>
  </si>
  <si>
    <t>Bf</t>
  </si>
  <si>
    <t>Uf</t>
  </si>
  <si>
    <t>Lengte</t>
  </si>
  <si>
    <t xml:space="preserve"> UxA</t>
  </si>
  <si>
    <t>=</t>
  </si>
  <si>
    <t>stijl</t>
  </si>
  <si>
    <t>neut</t>
  </si>
  <si>
    <t xml:space="preserve">dorpel </t>
  </si>
  <si>
    <t>Ufr kozijn:   Ufr-rekentool Uw kozijnen versie 2,0  - NBvT dd 06-01-2020</t>
  </si>
  <si>
    <t>Ufr Holonite: Ufr waarde Trimax laagreliefdorpels dd 30-08-2017</t>
  </si>
  <si>
    <t>versie    :  4</t>
  </si>
  <si>
    <t>versiedatum  :  01-04-2025</t>
  </si>
  <si>
    <t>Red Grandis</t>
  </si>
  <si>
    <t>Hout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</si>
</sst>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.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/>
    <xf numFmtId="0" fontId="5" fillId="0" borderId="0" xfId="0" applyFont="1"/>
    <xf numFmtId="0" fontId="8" fillId="0" borderId="0" xfId="0" applyFont="1"/>
    <xf numFmtId="2" fontId="2" fillId="0" borderId="0" xfId="0" applyNumberFormat="1" applyFont="1"/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10" fillId="0" borderId="0" xfId="0" applyFont="1"/>
    <xf numFmtId="0" fontId="0" fillId="0" borderId="9" xfId="0" applyBorder="1" applyAlignment="1">
      <alignment horizontal="left"/>
    </xf>
    <xf numFmtId="0" fontId="2" fillId="0" borderId="14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9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1" fontId="2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5" fillId="0" borderId="6" xfId="0" applyFont="1" applyBorder="1"/>
    <xf numFmtId="0" fontId="18" fillId="0" borderId="0" xfId="0" applyFont="1"/>
    <xf numFmtId="0" fontId="6" fillId="0" borderId="0" xfId="0" applyFont="1"/>
    <xf numFmtId="2" fontId="12" fillId="2" borderId="17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2" fillId="0" borderId="7" xfId="0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/>
    <xf numFmtId="0" fontId="2" fillId="0" borderId="18" xfId="0" applyFont="1" applyBorder="1"/>
    <xf numFmtId="0" fontId="2" fillId="3" borderId="17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0" fontId="7" fillId="0" borderId="0" xfId="0" applyFont="1"/>
    <xf numFmtId="1" fontId="2" fillId="3" borderId="17" xfId="0" applyNumberFormat="1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/>
    </xf>
    <xf numFmtId="0" fontId="2" fillId="0" borderId="20" xfId="0" applyFont="1" applyBorder="1"/>
    <xf numFmtId="0" fontId="11" fillId="0" borderId="0" xfId="0" applyFont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0" borderId="21" xfId="0" applyFont="1" applyBorder="1"/>
    <xf numFmtId="0" fontId="0" fillId="0" borderId="22" xfId="0" applyBorder="1"/>
    <xf numFmtId="0" fontId="2" fillId="0" borderId="23" xfId="0" applyFont="1" applyBorder="1"/>
    <xf numFmtId="0" fontId="0" fillId="0" borderId="24" xfId="0" applyBorder="1"/>
    <xf numFmtId="0" fontId="2" fillId="0" borderId="25" xfId="0" applyFont="1" applyBorder="1"/>
    <xf numFmtId="0" fontId="0" fillId="0" borderId="26" xfId="0" applyBorder="1"/>
    <xf numFmtId="164" fontId="2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2" fillId="0" borderId="0" xfId="0" applyNumberFormat="1" applyFont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3" borderId="17" xfId="0" applyNumberFormat="1" applyFont="1" applyFill="1" applyBorder="1" applyAlignment="1">
      <alignment horizontal="center"/>
    </xf>
    <xf numFmtId="165" fontId="2" fillId="3" borderId="19" xfId="0" applyNumberFormat="1" applyFont="1" applyFill="1" applyBorder="1" applyAlignment="1">
      <alignment horizontal="center"/>
    </xf>
    <xf numFmtId="165" fontId="0" fillId="3" borderId="17" xfId="0" applyNumberForma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4" fillId="0" borderId="6" xfId="0" applyFont="1" applyBorder="1"/>
    <xf numFmtId="0" fontId="14" fillId="0" borderId="0" xfId="0" applyFont="1"/>
    <xf numFmtId="0" fontId="14" fillId="0" borderId="7" xfId="0" applyFont="1" applyBorder="1"/>
    <xf numFmtId="0" fontId="19" fillId="0" borderId="0" xfId="0" applyFont="1"/>
    <xf numFmtId="0" fontId="2" fillId="0" borderId="28" xfId="0" applyFont="1" applyBorder="1"/>
    <xf numFmtId="16" fontId="13" fillId="0" borderId="0" xfId="0" applyNumberFormat="1" applyFont="1"/>
    <xf numFmtId="0" fontId="0" fillId="5" borderId="16" xfId="0" applyFill="1" applyBorder="1"/>
    <xf numFmtId="0" fontId="2" fillId="6" borderId="16" xfId="0" applyFont="1" applyFill="1" applyBorder="1"/>
    <xf numFmtId="0" fontId="0" fillId="0" borderId="27" xfId="0" applyBorder="1"/>
    <xf numFmtId="0" fontId="2" fillId="0" borderId="29" xfId="0" applyFont="1" applyBorder="1"/>
    <xf numFmtId="0" fontId="0" fillId="7" borderId="16" xfId="0" applyFill="1" applyBorder="1"/>
    <xf numFmtId="0" fontId="0" fillId="4" borderId="16" xfId="0" applyFill="1" applyBorder="1"/>
    <xf numFmtId="0" fontId="13" fillId="7" borderId="17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Protection="1">
      <protection locked="0"/>
    </xf>
    <xf numFmtId="0" fontId="2" fillId="4" borderId="8" xfId="0" applyFont="1" applyFill="1" applyBorder="1"/>
    <xf numFmtId="0" fontId="2" fillId="4" borderId="5" xfId="0" applyFont="1" applyFill="1" applyBorder="1" applyProtection="1">
      <protection locked="0"/>
    </xf>
    <xf numFmtId="0" fontId="2" fillId="4" borderId="5" xfId="0" applyFont="1" applyFill="1" applyBorder="1"/>
    <xf numFmtId="0" fontId="13" fillId="0" borderId="13" xfId="0" applyFont="1" applyBorder="1" applyAlignment="1">
      <alignment horizontal="center"/>
    </xf>
    <xf numFmtId="0" fontId="13" fillId="5" borderId="17" xfId="0" applyFont="1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1" fontId="13" fillId="5" borderId="17" xfId="0" applyNumberFormat="1" applyFont="1" applyFill="1" applyBorder="1" applyAlignment="1" applyProtection="1">
      <alignment horizontal="center"/>
      <protection locked="0"/>
    </xf>
    <xf numFmtId="0" fontId="2" fillId="7" borderId="17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Protection="1">
      <protection locked="0"/>
    </xf>
    <xf numFmtId="0" fontId="13" fillId="0" borderId="4" xfId="0" applyFont="1" applyBorder="1"/>
    <xf numFmtId="0" fontId="2" fillId="0" borderId="15" xfId="0" applyFont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7" borderId="17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13" fillId="0" borderId="13" xfId="0" applyFont="1" applyBorder="1"/>
    <xf numFmtId="0" fontId="0" fillId="0" borderId="30" xfId="0" applyBorder="1"/>
    <xf numFmtId="0" fontId="0" fillId="0" borderId="31" xfId="0" applyBorder="1"/>
    <xf numFmtId="0" fontId="0" fillId="0" borderId="27" xfId="0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36" xfId="0" applyBorder="1"/>
    <xf numFmtId="0" fontId="0" fillId="0" borderId="37" xfId="0" applyBorder="1"/>
    <xf numFmtId="2" fontId="0" fillId="0" borderId="10" xfId="0" applyNumberFormat="1" applyBorder="1" applyAlignment="1">
      <alignment horizontal="center"/>
    </xf>
    <xf numFmtId="0" fontId="20" fillId="0" borderId="37" xfId="0" applyFont="1" applyBorder="1"/>
    <xf numFmtId="0" fontId="20" fillId="0" borderId="38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</cellXfs>
  <cellStyles count="1">
    <cellStyle name="Standaard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171449</xdr:colOff>
      <xdr:row>0</xdr:row>
      <xdr:rowOff>173571</xdr:rowOff>
    </xdr:from>
    <xdr:to>
      <xdr:col>16</xdr:col>
      <xdr:colOff>174019</xdr:colOff>
      <xdr:row>3</xdr:row>
      <xdr:rowOff>93436</xdr:rowOff>
    </xdr:to>
    <xdr:pic>
      <xdr:nvPicPr>
        <xdr:cNvPr id="4" name="Picture 2" descr="C:\Users\Gerard\Documents\LIMUCO\Brief  - factuur - logos\100609 Limuco_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499" y="173571"/>
          <a:ext cx="1467515" cy="45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5</xdr:col>
      <xdr:colOff>457403</xdr:colOff>
      <xdr:row>4</xdr:row>
      <xdr:rowOff>286596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448A5BA-4477-4BBA-B018-CEC2BBFA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3276803" cy="89916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Gegevens_1" connectionId="1" xr16:uid="{E1C4205F-82B2-4112-B997-ACEBFCAE1A1F}" autoFormatId="16" applyNumberFormats="0" applyBorderFormats="0" applyFontFormats="0" applyPatternFormats="0" applyAlignmentFormats="0" applyWidthHeightFormats="0">
  <queryTableRefresh nextId="2">
    <queryTableFields count="1">
      <queryTableField id="1" name="Kolom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64272E-57C1-4494-A43E-991AA4C93B59}" name="Tabel1_2" displayName="Tabel1_2" ref="A1:A16" tableType="queryTable" totalsRowShown="0">
  <autoFilter ref="A1:A16" xr:uid="{AD64272E-57C1-4494-A43E-991AA4C93B59}"/>
  <tableColumns count="1">
    <tableColumn id="1" xr3:uid="{304DCB15-4B03-4703-B21E-EB23F517089A}" uniqueName="1" name="Kolom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5444-D555-449B-890C-89070FBA53EF}">
  <dimension ref="A1:A16"/>
  <sheetViews>
    <sheetView workbookViewId="0"/>
  </sheetViews>
  <sheetFormatPr defaultRowHeight="15" x14ac:dyDescent="0.25"/>
  <cols>
    <col min="1" max="1" width="9.7109375" bestFit="1" customWidth="1"/>
  </cols>
  <sheetData>
    <row r="1" spans="1:1" x14ac:dyDescent="0.25">
      <c r="A1" t="s">
        <v>138</v>
      </c>
    </row>
    <row r="2" spans="1:1" x14ac:dyDescent="0.25">
      <c r="A2" t="s">
        <v>77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M89"/>
  <sheetViews>
    <sheetView tabSelected="1" zoomScaleNormal="100" workbookViewId="0">
      <selection activeCell="P32" sqref="P32"/>
    </sheetView>
  </sheetViews>
  <sheetFormatPr defaultRowHeight="15" x14ac:dyDescent="0.25"/>
  <cols>
    <col min="1" max="1" width="4" customWidth="1"/>
    <col min="2" max="2" width="14.85546875" customWidth="1"/>
    <col min="3" max="3" width="7.42578125" customWidth="1"/>
    <col min="4" max="4" width="4.5703125" customWidth="1"/>
    <col min="5" max="5" width="10.28515625" customWidth="1"/>
    <col min="6" max="6" width="8.7109375" customWidth="1"/>
    <col min="7" max="7" width="9.140625" customWidth="1"/>
    <col min="8" max="8" width="5.7109375" customWidth="1"/>
    <col min="9" max="9" width="9.85546875" customWidth="1"/>
    <col min="10" max="10" width="6.85546875" customWidth="1"/>
    <col min="11" max="11" width="6.7109375" customWidth="1"/>
    <col min="12" max="12" width="9.5703125" customWidth="1"/>
    <col min="13" max="13" width="8" customWidth="1"/>
    <col min="14" max="14" width="4.28515625" customWidth="1"/>
    <col min="15" max="15" width="8.7109375" customWidth="1"/>
    <col min="16" max="16" width="8.42578125" customWidth="1"/>
    <col min="17" max="17" width="8.28515625" customWidth="1"/>
    <col min="18" max="18" width="3.7109375" hidden="1" customWidth="1"/>
    <col min="19" max="19" width="5.5703125" hidden="1" customWidth="1"/>
    <col min="20" max="20" width="6.28515625" hidden="1" customWidth="1"/>
    <col min="21" max="21" width="6.140625" hidden="1" customWidth="1"/>
    <col min="22" max="22" width="2.7109375" hidden="1" customWidth="1"/>
    <col min="23" max="23" width="6.7109375" hidden="1" customWidth="1"/>
    <col min="24" max="24" width="2.5703125" hidden="1" customWidth="1"/>
    <col min="25" max="25" width="7.28515625" hidden="1" customWidth="1"/>
    <col min="26" max="26" width="6.7109375" hidden="1" customWidth="1"/>
    <col min="27" max="27" width="7.5703125" hidden="1" customWidth="1"/>
    <col min="28" max="28" width="7.140625" hidden="1" customWidth="1"/>
    <col min="29" max="29" width="8.28515625" hidden="1" customWidth="1"/>
    <col min="30" max="30" width="1.7109375" hidden="1" customWidth="1"/>
    <col min="31" max="31" width="7.7109375" hidden="1" customWidth="1"/>
    <col min="32" max="32" width="7.85546875" hidden="1" customWidth="1"/>
    <col min="33" max="33" width="7" hidden="1" customWidth="1"/>
    <col min="34" max="34" width="8.28515625" hidden="1" customWidth="1"/>
    <col min="35" max="35" width="8" hidden="1" customWidth="1"/>
    <col min="36" max="36" width="8.85546875" hidden="1" customWidth="1"/>
    <col min="37" max="37" width="8.85546875" customWidth="1"/>
  </cols>
  <sheetData>
    <row r="1" spans="1:35" x14ac:dyDescent="0.25"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35" x14ac:dyDescent="0.25"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35" x14ac:dyDescent="0.25"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35" x14ac:dyDescent="0.25"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35" ht="46.15" customHeight="1" thickBot="1" x14ac:dyDescent="0.75">
      <c r="A5" s="1" t="s">
        <v>46</v>
      </c>
      <c r="I5" s="45" t="s">
        <v>7</v>
      </c>
      <c r="L5" s="11"/>
      <c r="R5" t="s">
        <v>7</v>
      </c>
      <c r="S5" s="8"/>
      <c r="T5" s="8"/>
      <c r="U5" s="8"/>
      <c r="V5" s="8"/>
      <c r="W5" s="8"/>
      <c r="X5" s="8" t="s">
        <v>7</v>
      </c>
      <c r="Y5" s="8"/>
      <c r="Z5" s="8"/>
      <c r="AA5" s="8"/>
      <c r="AB5" s="8"/>
    </row>
    <row r="6" spans="1:35" ht="15.75" thickTop="1" x14ac:dyDescent="0.25">
      <c r="A6" t="s">
        <v>122</v>
      </c>
      <c r="S6" s="23" t="s">
        <v>58</v>
      </c>
      <c r="T6" s="17"/>
      <c r="U6" s="17"/>
      <c r="V6" s="17"/>
      <c r="W6" s="17"/>
      <c r="X6" s="17"/>
      <c r="Y6" s="17"/>
      <c r="Z6" s="17"/>
      <c r="AA6" s="17" t="s">
        <v>119</v>
      </c>
      <c r="AB6" s="17"/>
      <c r="AC6" s="17" t="s">
        <v>120</v>
      </c>
      <c r="AD6" s="17"/>
      <c r="AE6" s="17" t="s">
        <v>139</v>
      </c>
      <c r="AF6" s="17" t="s">
        <v>75</v>
      </c>
      <c r="AG6" s="17" t="s">
        <v>4</v>
      </c>
      <c r="AH6" s="17" t="s">
        <v>85</v>
      </c>
      <c r="AI6" s="18" t="s">
        <v>86</v>
      </c>
    </row>
    <row r="7" spans="1:35" x14ac:dyDescent="0.25">
      <c r="A7" s="28" t="s">
        <v>121</v>
      </c>
      <c r="B7" s="28"/>
      <c r="C7" s="28"/>
      <c r="D7" s="92"/>
      <c r="E7" s="28" t="s">
        <v>7</v>
      </c>
      <c r="F7" s="28"/>
      <c r="S7" s="13" t="s">
        <v>70</v>
      </c>
      <c r="T7" s="40" t="s">
        <v>96</v>
      </c>
      <c r="U7" t="s">
        <v>164</v>
      </c>
      <c r="W7" t="s">
        <v>65</v>
      </c>
      <c r="Y7" s="8" t="s">
        <v>69</v>
      </c>
      <c r="Z7" s="39" t="s">
        <v>78</v>
      </c>
      <c r="AA7" s="8" t="s">
        <v>71</v>
      </c>
      <c r="AB7" s="8" t="s">
        <v>72</v>
      </c>
      <c r="AC7" s="8" t="s">
        <v>73</v>
      </c>
      <c r="AD7" s="8"/>
      <c r="AE7" s="8" t="s">
        <v>77</v>
      </c>
      <c r="AF7" s="8">
        <v>4.6070000000000002</v>
      </c>
      <c r="AG7" s="35">
        <v>0</v>
      </c>
      <c r="AH7" s="8">
        <v>8</v>
      </c>
      <c r="AI7" s="16" t="s">
        <v>89</v>
      </c>
    </row>
    <row r="8" spans="1:35" ht="14.45" customHeight="1" thickBot="1" x14ac:dyDescent="0.3">
      <c r="A8" s="28" t="s">
        <v>161</v>
      </c>
      <c r="B8" s="28"/>
      <c r="C8" s="28" t="s">
        <v>7</v>
      </c>
      <c r="D8" s="28"/>
      <c r="E8" s="28"/>
      <c r="F8" s="28" t="s">
        <v>162</v>
      </c>
      <c r="S8" s="27">
        <v>38</v>
      </c>
      <c r="T8" s="43">
        <v>3.3000000000000002E-2</v>
      </c>
      <c r="U8" s="28" t="s">
        <v>59</v>
      </c>
      <c r="W8" s="25">
        <v>0.18</v>
      </c>
      <c r="Y8" s="8" t="s">
        <v>36</v>
      </c>
      <c r="Z8" s="42">
        <v>0.08</v>
      </c>
      <c r="AA8" s="42">
        <v>118</v>
      </c>
      <c r="AB8" s="42">
        <v>132</v>
      </c>
      <c r="AC8" s="42">
        <v>167</v>
      </c>
      <c r="AD8" s="8"/>
      <c r="AE8" s="8" t="s">
        <v>124</v>
      </c>
      <c r="AF8" s="8">
        <v>3.448</v>
      </c>
      <c r="AG8" s="35">
        <v>0</v>
      </c>
      <c r="AH8" s="8">
        <v>12</v>
      </c>
      <c r="AI8" s="16" t="s">
        <v>89</v>
      </c>
    </row>
    <row r="9" spans="1:35" ht="15.75" thickBot="1" x14ac:dyDescent="0.3">
      <c r="A9" s="2" t="s">
        <v>13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" t="s">
        <v>7</v>
      </c>
      <c r="S9" s="27">
        <v>54</v>
      </c>
      <c r="T9" s="43">
        <v>2.4E-2</v>
      </c>
      <c r="U9" s="28" t="s">
        <v>60</v>
      </c>
      <c r="W9" s="25">
        <v>0.16</v>
      </c>
      <c r="Y9" s="19" t="s">
        <v>27</v>
      </c>
      <c r="Z9" s="42">
        <v>0.06</v>
      </c>
      <c r="AA9" s="42">
        <v>132</v>
      </c>
      <c r="AB9" s="42">
        <v>140</v>
      </c>
      <c r="AC9" s="42">
        <v>255</v>
      </c>
      <c r="AD9" s="8"/>
      <c r="AE9" s="8" t="s">
        <v>125</v>
      </c>
      <c r="AF9" s="8">
        <v>3.448</v>
      </c>
      <c r="AG9" s="35">
        <v>0</v>
      </c>
      <c r="AH9" s="8">
        <v>12</v>
      </c>
      <c r="AI9" s="16" t="s">
        <v>89</v>
      </c>
    </row>
    <row r="10" spans="1:35" x14ac:dyDescent="0.25">
      <c r="A10" s="5" t="s">
        <v>7</v>
      </c>
      <c r="B10" s="5" t="s">
        <v>14</v>
      </c>
      <c r="C10" s="5"/>
      <c r="D10" s="5"/>
      <c r="E10" s="100" t="s">
        <v>7</v>
      </c>
      <c r="F10" s="101"/>
      <c r="G10" s="101"/>
      <c r="H10" s="101"/>
      <c r="I10" s="5"/>
      <c r="J10" s="5"/>
      <c r="K10" s="5"/>
      <c r="L10" s="5"/>
      <c r="M10" s="5"/>
      <c r="N10" s="5"/>
      <c r="S10" s="27">
        <v>67</v>
      </c>
      <c r="T10" s="43">
        <v>1.6E-2</v>
      </c>
      <c r="U10" s="28" t="s">
        <v>62</v>
      </c>
      <c r="W10" s="25">
        <v>0.16</v>
      </c>
      <c r="Y10" s="8"/>
      <c r="Z10" s="42">
        <v>0.04</v>
      </c>
      <c r="AA10" s="42">
        <v>140</v>
      </c>
      <c r="AB10" s="42">
        <v>167</v>
      </c>
      <c r="AC10" s="42">
        <v>364</v>
      </c>
      <c r="AD10" s="8"/>
      <c r="AE10" s="8" t="s">
        <v>126</v>
      </c>
      <c r="AF10" s="8">
        <v>1.7989999999999999</v>
      </c>
      <c r="AG10" s="35">
        <v>0</v>
      </c>
      <c r="AH10" s="8">
        <v>20</v>
      </c>
      <c r="AI10" s="16" t="s">
        <v>89</v>
      </c>
    </row>
    <row r="11" spans="1:35" x14ac:dyDescent="0.25">
      <c r="A11" s="5"/>
      <c r="B11" s="5" t="s">
        <v>15</v>
      </c>
      <c r="C11" s="5"/>
      <c r="D11" s="5"/>
      <c r="E11" s="102" t="s">
        <v>7</v>
      </c>
      <c r="F11" s="103"/>
      <c r="G11" s="103"/>
      <c r="H11" s="103"/>
      <c r="I11" s="5"/>
      <c r="J11" s="5"/>
      <c r="K11" s="5"/>
      <c r="L11" s="5"/>
      <c r="M11" s="5"/>
      <c r="N11" s="5"/>
      <c r="S11" s="27">
        <v>82</v>
      </c>
      <c r="T11" s="43">
        <v>1.0999999999999999E-2</v>
      </c>
      <c r="U11" s="28" t="s">
        <v>61</v>
      </c>
      <c r="W11" s="25">
        <v>0.13</v>
      </c>
      <c r="Y11" s="8"/>
      <c r="Z11" s="42"/>
      <c r="AA11" s="42">
        <v>167</v>
      </c>
      <c r="AB11" s="42"/>
      <c r="AC11" s="42">
        <v>473</v>
      </c>
      <c r="AD11" s="8"/>
      <c r="AE11" s="8" t="s">
        <v>127</v>
      </c>
      <c r="AF11" s="8">
        <v>1.7989999999999999</v>
      </c>
      <c r="AG11" s="35">
        <v>0</v>
      </c>
      <c r="AH11" s="8">
        <v>20</v>
      </c>
      <c r="AI11" s="16" t="s">
        <v>89</v>
      </c>
    </row>
    <row r="12" spans="1:35" x14ac:dyDescent="0.25">
      <c r="A12" s="5"/>
      <c r="B12" s="5" t="s">
        <v>16</v>
      </c>
      <c r="C12" s="5"/>
      <c r="D12" s="5"/>
      <c r="E12" s="102" t="s">
        <v>7</v>
      </c>
      <c r="F12" s="103"/>
      <c r="G12" s="103"/>
      <c r="H12" s="103"/>
      <c r="I12" s="5"/>
      <c r="J12" s="5"/>
      <c r="K12" s="5"/>
      <c r="L12" s="5"/>
      <c r="M12" s="5"/>
      <c r="N12" s="5"/>
      <c r="S12" s="13"/>
      <c r="T12" s="8"/>
      <c r="U12" s="28" t="s">
        <v>63</v>
      </c>
      <c r="W12" s="25">
        <v>0.12</v>
      </c>
      <c r="Y12" s="8"/>
      <c r="Z12" s="42"/>
      <c r="AA12" s="42"/>
      <c r="AB12" s="42"/>
      <c r="AC12" s="42">
        <v>582</v>
      </c>
      <c r="AD12" s="8"/>
      <c r="AE12" s="8" t="s">
        <v>128</v>
      </c>
      <c r="AF12" s="8">
        <v>1.7070000000000001</v>
      </c>
      <c r="AG12" s="35">
        <v>0.01</v>
      </c>
      <c r="AH12" s="8">
        <v>23</v>
      </c>
      <c r="AI12" s="16" t="s">
        <v>90</v>
      </c>
    </row>
    <row r="13" spans="1:35" x14ac:dyDescent="0.25">
      <c r="A13" s="5"/>
      <c r="B13" s="5" t="s">
        <v>17</v>
      </c>
      <c r="C13" s="5"/>
      <c r="D13" s="5"/>
      <c r="E13" s="102" t="s">
        <v>7</v>
      </c>
      <c r="F13" s="103"/>
      <c r="G13" s="103"/>
      <c r="H13" s="103"/>
      <c r="I13" s="5"/>
      <c r="J13" s="5"/>
      <c r="K13" s="5"/>
      <c r="L13" s="5"/>
      <c r="M13" s="5"/>
      <c r="N13" s="5"/>
      <c r="S13" s="13"/>
      <c r="T13" s="8"/>
      <c r="U13" s="28" t="s">
        <v>64</v>
      </c>
      <c r="W13" s="25">
        <v>0.1</v>
      </c>
      <c r="Y13" s="8"/>
      <c r="Z13" s="42"/>
      <c r="AA13" s="42"/>
      <c r="AB13" s="42"/>
      <c r="AC13" s="42">
        <v>691</v>
      </c>
      <c r="AD13" s="8"/>
      <c r="AE13" s="8" t="s">
        <v>129</v>
      </c>
      <c r="AF13" s="8">
        <v>1.7070000000000001</v>
      </c>
      <c r="AG13" s="35">
        <v>0.01</v>
      </c>
      <c r="AH13" s="8">
        <v>23</v>
      </c>
      <c r="AI13" s="16" t="s">
        <v>90</v>
      </c>
    </row>
    <row r="14" spans="1:35" ht="17.25" customHeight="1" thickBot="1" x14ac:dyDescent="0.3">
      <c r="A14" s="5"/>
      <c r="B14" s="5"/>
      <c r="C14" s="5"/>
      <c r="D14" s="5"/>
      <c r="F14" s="5"/>
      <c r="G14" s="5"/>
      <c r="H14" s="5"/>
      <c r="I14" s="5"/>
      <c r="J14" s="5"/>
      <c r="K14" s="5"/>
      <c r="L14" s="5"/>
      <c r="M14" s="5"/>
      <c r="N14" s="5"/>
      <c r="S14" s="13"/>
      <c r="T14" s="8"/>
      <c r="U14" s="28" t="s">
        <v>163</v>
      </c>
      <c r="W14" s="25">
        <v>0.12</v>
      </c>
      <c r="Y14" s="8"/>
      <c r="Z14" s="42"/>
      <c r="AA14" s="42"/>
      <c r="AB14" s="42"/>
      <c r="AC14" s="42">
        <v>800</v>
      </c>
      <c r="AD14" s="8"/>
      <c r="AE14" s="8" t="s">
        <v>130</v>
      </c>
      <c r="AF14" s="8">
        <v>1.5980000000000001</v>
      </c>
      <c r="AG14" s="35">
        <v>0.01</v>
      </c>
      <c r="AH14" s="8">
        <v>27</v>
      </c>
      <c r="AI14" s="16" t="s">
        <v>90</v>
      </c>
    </row>
    <row r="15" spans="1:35" ht="15.75" thickBot="1" x14ac:dyDescent="0.3">
      <c r="A15" s="2" t="s">
        <v>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/>
      <c r="S15" s="13"/>
      <c r="T15" s="8"/>
      <c r="W15" s="25"/>
      <c r="Y15" s="8"/>
      <c r="Z15" s="42"/>
      <c r="AA15" s="42"/>
      <c r="AB15" s="42"/>
      <c r="AC15" s="42">
        <v>909</v>
      </c>
      <c r="AD15" s="8"/>
      <c r="AE15" s="8" t="s">
        <v>131</v>
      </c>
      <c r="AF15" s="8">
        <v>1.5980000000000001</v>
      </c>
      <c r="AG15" s="35">
        <v>0.01</v>
      </c>
      <c r="AH15" s="8">
        <v>27</v>
      </c>
      <c r="AI15" s="16" t="s">
        <v>90</v>
      </c>
    </row>
    <row r="16" spans="1:35" ht="11.45" customHeight="1" x14ac:dyDescent="0.25">
      <c r="L16" s="95"/>
      <c r="M16" s="95"/>
      <c r="N16" s="98"/>
      <c r="O16" s="5" t="s">
        <v>140</v>
      </c>
      <c r="P16" s="95"/>
      <c r="S16" s="13"/>
      <c r="T16" s="8"/>
      <c r="W16" s="25"/>
      <c r="Y16" s="8"/>
      <c r="Z16" s="42"/>
      <c r="AA16" s="42"/>
      <c r="AB16" s="42"/>
      <c r="AC16" s="42" t="s">
        <v>76</v>
      </c>
      <c r="AD16" s="42"/>
      <c r="AE16" s="42" t="s">
        <v>132</v>
      </c>
      <c r="AF16" s="42">
        <v>1.1879999999999999</v>
      </c>
      <c r="AG16" s="43">
        <v>0</v>
      </c>
      <c r="AH16" s="42">
        <v>30</v>
      </c>
      <c r="AI16" s="104" t="s">
        <v>89</v>
      </c>
    </row>
    <row r="17" spans="1:39" s="5" customFormat="1" x14ac:dyDescent="0.25">
      <c r="A17" s="20" t="s">
        <v>0</v>
      </c>
      <c r="L17" s="51"/>
      <c r="M17" s="96"/>
      <c r="N17" s="97"/>
      <c r="O17" s="5" t="s">
        <v>141</v>
      </c>
      <c r="S17" s="14"/>
      <c r="T17" s="7"/>
      <c r="W17" s="26"/>
      <c r="Y17" s="7"/>
      <c r="Z17" s="42"/>
      <c r="AA17" s="42"/>
      <c r="AB17" s="42"/>
      <c r="AC17" s="42"/>
      <c r="AD17" s="42"/>
      <c r="AE17" s="42" t="s">
        <v>133</v>
      </c>
      <c r="AF17" s="42">
        <v>1.1479999999999999</v>
      </c>
      <c r="AG17" s="43">
        <v>0.01</v>
      </c>
      <c r="AH17" s="42">
        <v>33</v>
      </c>
      <c r="AI17" s="104" t="s">
        <v>90</v>
      </c>
    </row>
    <row r="18" spans="1:39" s="5" customFormat="1" x14ac:dyDescent="0.25">
      <c r="A18" s="9"/>
      <c r="B18" s="9" t="s">
        <v>67</v>
      </c>
      <c r="C18" s="9"/>
      <c r="D18" s="9"/>
      <c r="E18" s="67">
        <v>940</v>
      </c>
      <c r="F18" s="44" t="s">
        <v>19</v>
      </c>
      <c r="G18" s="9" t="s">
        <v>7</v>
      </c>
      <c r="H18" s="9"/>
      <c r="I18" s="9"/>
      <c r="J18" s="9"/>
      <c r="K18" s="9"/>
      <c r="N18" s="93"/>
      <c r="O18" s="5" t="s">
        <v>143</v>
      </c>
      <c r="S18" s="14"/>
      <c r="T18" s="7"/>
      <c r="W18" s="26"/>
      <c r="Y18" s="7"/>
      <c r="Z18" s="7"/>
      <c r="AA18" s="7"/>
      <c r="AB18" s="7"/>
      <c r="AC18" s="42"/>
      <c r="AD18" s="42"/>
      <c r="AE18" s="42" t="s">
        <v>134</v>
      </c>
      <c r="AF18" s="42">
        <v>1.4370000000000001</v>
      </c>
      <c r="AG18" s="43">
        <v>0.02</v>
      </c>
      <c r="AH18" s="42">
        <v>34</v>
      </c>
      <c r="AI18" s="104" t="s">
        <v>91</v>
      </c>
    </row>
    <row r="19" spans="1:39" s="5" customFormat="1" ht="13.5" thickBot="1" x14ac:dyDescent="0.25">
      <c r="B19" s="5" t="s">
        <v>68</v>
      </c>
      <c r="E19" s="67">
        <v>2200</v>
      </c>
      <c r="F19" s="10" t="s">
        <v>19</v>
      </c>
      <c r="G19" s="5" t="s">
        <v>7</v>
      </c>
      <c r="N19" s="94"/>
      <c r="O19" s="5" t="s">
        <v>142</v>
      </c>
      <c r="P19" s="12"/>
      <c r="S19" s="24"/>
      <c r="T19" s="29"/>
      <c r="U19" s="6"/>
      <c r="V19" s="6"/>
      <c r="W19" s="6"/>
      <c r="X19" s="6"/>
      <c r="Y19" s="29"/>
      <c r="Z19" s="29"/>
      <c r="AA19" s="29"/>
      <c r="AB19" s="29"/>
      <c r="AC19" s="110"/>
      <c r="AD19" s="110"/>
      <c r="AE19" s="42" t="s">
        <v>135</v>
      </c>
      <c r="AF19" s="42">
        <v>1.4370000000000001</v>
      </c>
      <c r="AG19" s="43">
        <v>0.02</v>
      </c>
      <c r="AH19" s="42">
        <v>34</v>
      </c>
      <c r="AI19" s="104" t="s">
        <v>91</v>
      </c>
    </row>
    <row r="20" spans="1:39" s="5" customFormat="1" ht="15.75" thickTop="1" x14ac:dyDescent="0.25">
      <c r="B20" s="5" t="s">
        <v>66</v>
      </c>
      <c r="E20" s="99">
        <v>67</v>
      </c>
      <c r="F20" s="10" t="s">
        <v>19</v>
      </c>
      <c r="G20" s="5" t="s">
        <v>7</v>
      </c>
      <c r="I20" s="5" t="s">
        <v>7</v>
      </c>
      <c r="R20"/>
      <c r="AC20" s="28"/>
      <c r="AD20" s="28"/>
      <c r="AE20" s="27" t="s">
        <v>136</v>
      </c>
      <c r="AF20" s="42">
        <v>1.097</v>
      </c>
      <c r="AG20" s="43">
        <v>0.01</v>
      </c>
      <c r="AH20" s="42">
        <v>37</v>
      </c>
      <c r="AI20" s="104" t="s">
        <v>90</v>
      </c>
    </row>
    <row r="21" spans="1:39" s="5" customFormat="1" x14ac:dyDescent="0.25">
      <c r="B21" s="5" t="s">
        <v>56</v>
      </c>
      <c r="E21" s="99" t="s">
        <v>163</v>
      </c>
      <c r="F21" s="10"/>
      <c r="L21" s="46" t="s">
        <v>118</v>
      </c>
      <c r="M21" s="47">
        <f>IF(E21=U8,W8,IF(E21=U9,W9,IF(E21=U10,W10,IF(E21=U11,W11,IF(E21=U12,W12,IF(E21=U13,W13,IF(E21=U14,W14,)))))))</f>
        <v>0.12</v>
      </c>
      <c r="N21" s="5" t="s">
        <v>57</v>
      </c>
      <c r="R21"/>
      <c r="S21"/>
      <c r="T21" t="s">
        <v>7</v>
      </c>
      <c r="V21"/>
      <c r="W21"/>
      <c r="X21"/>
      <c r="Y21"/>
      <c r="AC21" s="28"/>
      <c r="AD21" s="28"/>
      <c r="AE21" s="27" t="s">
        <v>137</v>
      </c>
      <c r="AF21" s="42">
        <v>1.0189999999999999</v>
      </c>
      <c r="AG21" s="43">
        <v>0.02</v>
      </c>
      <c r="AH21" s="42">
        <v>44</v>
      </c>
      <c r="AI21" s="104" t="s">
        <v>91</v>
      </c>
    </row>
    <row r="22" spans="1:39" s="5" customFormat="1" ht="8.4499999999999993" customHeight="1" thickBot="1" x14ac:dyDescent="0.3">
      <c r="F22" s="10"/>
      <c r="N22" s="48"/>
      <c r="R22"/>
      <c r="S22"/>
      <c r="T22" t="s">
        <v>7</v>
      </c>
      <c r="V22"/>
      <c r="W22"/>
      <c r="X22"/>
      <c r="Y22"/>
      <c r="Z22"/>
      <c r="AA22"/>
      <c r="AB22"/>
      <c r="AE22" s="24" t="s">
        <v>89</v>
      </c>
      <c r="AF22" s="29">
        <v>0</v>
      </c>
      <c r="AG22" s="113">
        <v>0</v>
      </c>
      <c r="AH22" s="29" t="s">
        <v>100</v>
      </c>
      <c r="AI22" s="111" t="s">
        <v>100</v>
      </c>
    </row>
    <row r="23" spans="1:39" ht="15.75" thickTop="1" x14ac:dyDescent="0.25">
      <c r="A23" s="20" t="s">
        <v>47</v>
      </c>
      <c r="E23" s="42" t="s">
        <v>49</v>
      </c>
      <c r="F23" s="10"/>
      <c r="G23" t="s">
        <v>7</v>
      </c>
      <c r="T23" t="s">
        <v>7</v>
      </c>
      <c r="AF23" s="7"/>
      <c r="AG23" s="25"/>
      <c r="AH23" s="8"/>
      <c r="AI23" s="8"/>
    </row>
    <row r="24" spans="1:39" x14ac:dyDescent="0.25">
      <c r="A24" s="20"/>
      <c r="B24" s="5" t="s">
        <v>48</v>
      </c>
      <c r="E24" s="99">
        <v>140</v>
      </c>
      <c r="F24" s="10" t="s">
        <v>19</v>
      </c>
      <c r="G24" t="s">
        <v>7</v>
      </c>
      <c r="H24" t="s">
        <v>7</v>
      </c>
      <c r="L24" s="5" t="s">
        <v>99</v>
      </c>
      <c r="M24" s="49">
        <f>E18-2*E24</f>
        <v>660</v>
      </c>
      <c r="N24" s="5" t="s">
        <v>19</v>
      </c>
      <c r="AF24" s="7"/>
      <c r="AG24" s="25"/>
      <c r="AH24" s="8"/>
      <c r="AI24" s="8"/>
    </row>
    <row r="25" spans="1:39" ht="15.75" thickBot="1" x14ac:dyDescent="0.3">
      <c r="A25" s="20"/>
      <c r="B25" s="5" t="s">
        <v>50</v>
      </c>
      <c r="E25" s="99">
        <v>140</v>
      </c>
      <c r="F25" s="10" t="s">
        <v>19</v>
      </c>
      <c r="M25" s="8"/>
      <c r="AF25" s="7"/>
      <c r="AG25" s="25"/>
      <c r="AH25" s="8"/>
      <c r="AI25" s="8"/>
    </row>
    <row r="26" spans="1:39" ht="15.75" thickTop="1" x14ac:dyDescent="0.25">
      <c r="A26" s="20"/>
      <c r="B26" s="5" t="s">
        <v>51</v>
      </c>
      <c r="E26" s="99">
        <v>364</v>
      </c>
      <c r="F26" t="str">
        <f>IF(E26="volgestapeld", "  ","mm")</f>
        <v>mm</v>
      </c>
      <c r="L26" s="5" t="s">
        <v>104</v>
      </c>
      <c r="M26" s="49">
        <f>IF(E26="volgestapeld", 0,E19-E25-E26)</f>
        <v>1696</v>
      </c>
      <c r="N26" s="5" t="s">
        <v>19</v>
      </c>
      <c r="O26" s="5" t="s">
        <v>98</v>
      </c>
      <c r="Q26" s="49">
        <f>ROUNDDOWN((S26/U26-1),0)</f>
        <v>2</v>
      </c>
      <c r="S26" s="75">
        <f>IF(E26="volgestapeld",E19-E25,E26)</f>
        <v>364</v>
      </c>
      <c r="T26" s="17"/>
      <c r="U26" s="17">
        <v>109</v>
      </c>
      <c r="V26" s="17"/>
      <c r="W26" s="18"/>
      <c r="AF26" s="7"/>
      <c r="AG26" s="25"/>
      <c r="AH26" s="8"/>
      <c r="AI26" s="8"/>
    </row>
    <row r="27" spans="1:39" x14ac:dyDescent="0.25">
      <c r="A27" s="20"/>
      <c r="B27" s="5" t="s">
        <v>52</v>
      </c>
      <c r="E27" s="50">
        <v>150</v>
      </c>
      <c r="F27" s="10" t="s">
        <v>19</v>
      </c>
      <c r="I27" s="106">
        <v>0</v>
      </c>
      <c r="J27" s="5" t="s">
        <v>20</v>
      </c>
      <c r="S27" s="76" t="s">
        <v>102</v>
      </c>
      <c r="T27" t="s">
        <v>103</v>
      </c>
      <c r="U27">
        <f>(E18-2*E24)*(E19-E25)/1000000</f>
        <v>1.3595999999999999</v>
      </c>
      <c r="W27" s="77"/>
      <c r="AF27" s="7"/>
      <c r="AG27" s="25"/>
      <c r="AH27" s="8"/>
      <c r="AI27" s="8"/>
    </row>
    <row r="28" spans="1:39" x14ac:dyDescent="0.25">
      <c r="A28" s="20"/>
      <c r="B28" s="5" t="s">
        <v>55</v>
      </c>
      <c r="E28" s="50">
        <v>255</v>
      </c>
      <c r="F28" s="10" t="s">
        <v>19</v>
      </c>
      <c r="I28" s="106">
        <v>0</v>
      </c>
      <c r="J28" s="5" t="s">
        <v>20</v>
      </c>
      <c r="S28" s="76" t="s">
        <v>108</v>
      </c>
      <c r="W28" s="77"/>
      <c r="AF28" s="7"/>
      <c r="AG28" s="25"/>
      <c r="AH28" s="8"/>
      <c r="AI28" s="8"/>
    </row>
    <row r="29" spans="1:39" ht="15.75" thickBot="1" x14ac:dyDescent="0.3">
      <c r="A29" s="20"/>
      <c r="B29" s="5" t="s">
        <v>54</v>
      </c>
      <c r="E29" s="105">
        <v>150</v>
      </c>
      <c r="F29" s="10" t="s">
        <v>19</v>
      </c>
      <c r="I29" s="106">
        <v>0</v>
      </c>
      <c r="J29" s="5" t="s">
        <v>20</v>
      </c>
      <c r="S29" s="78" t="s">
        <v>109</v>
      </c>
      <c r="T29" s="15"/>
      <c r="U29" s="15"/>
      <c r="V29" s="15"/>
      <c r="W29" s="79"/>
      <c r="AF29" s="7"/>
      <c r="AG29" s="25"/>
      <c r="AH29" s="8"/>
      <c r="AI29" s="8"/>
    </row>
    <row r="30" spans="1:39" ht="15.75" thickTop="1" x14ac:dyDescent="0.25">
      <c r="A30" s="20"/>
      <c r="F30" s="10"/>
      <c r="G30" s="28" t="s">
        <v>94</v>
      </c>
      <c r="J30" s="5"/>
      <c r="K30" s="51" t="s">
        <v>23</v>
      </c>
      <c r="AF30" s="7"/>
      <c r="AG30" s="25"/>
      <c r="AH30" s="8"/>
      <c r="AI30" s="8"/>
    </row>
    <row r="31" spans="1:39" x14ac:dyDescent="0.25">
      <c r="A31" s="20"/>
      <c r="B31" s="5" t="s">
        <v>53</v>
      </c>
      <c r="C31" t="s">
        <v>7</v>
      </c>
      <c r="E31" s="105">
        <v>118</v>
      </c>
      <c r="F31" s="10" t="s">
        <v>19</v>
      </c>
      <c r="G31" s="106">
        <f>M26</f>
        <v>1696</v>
      </c>
      <c r="H31" s="10" t="s">
        <v>19</v>
      </c>
      <c r="I31" s="106">
        <v>0</v>
      </c>
      <c r="J31" s="5" t="s">
        <v>20</v>
      </c>
      <c r="K31" s="80">
        <f>E31*G31*I31/1000000</f>
        <v>0</v>
      </c>
      <c r="O31" s="5" t="s">
        <v>7</v>
      </c>
      <c r="P31" s="39" t="s">
        <v>7</v>
      </c>
      <c r="AF31" s="7"/>
      <c r="AG31" s="25"/>
      <c r="AH31" s="8"/>
      <c r="AI31" s="8"/>
      <c r="AL31" s="80"/>
      <c r="AM31" s="5"/>
    </row>
    <row r="32" spans="1:39" x14ac:dyDescent="0.25">
      <c r="A32" s="20"/>
      <c r="B32" s="5"/>
      <c r="C32" t="s">
        <v>7</v>
      </c>
      <c r="E32" s="105">
        <v>83</v>
      </c>
      <c r="F32" s="10" t="s">
        <v>19</v>
      </c>
      <c r="G32" s="106">
        <f>M26</f>
        <v>1696</v>
      </c>
      <c r="H32" s="10" t="s">
        <v>19</v>
      </c>
      <c r="I32" s="106">
        <v>0</v>
      </c>
      <c r="J32" s="5" t="s">
        <v>20</v>
      </c>
      <c r="K32" s="80">
        <f>E32*G32*I32/1000000</f>
        <v>0</v>
      </c>
      <c r="O32" s="5" t="s">
        <v>7</v>
      </c>
      <c r="P32" s="39" t="s">
        <v>7</v>
      </c>
      <c r="AF32" s="7"/>
      <c r="AG32" s="25"/>
      <c r="AH32" s="8"/>
      <c r="AI32" s="8"/>
      <c r="AL32" s="80"/>
      <c r="AM32" s="5"/>
    </row>
    <row r="33" spans="1:39" ht="15.75" thickBot="1" x14ac:dyDescent="0.3">
      <c r="A33" s="20"/>
      <c r="B33" s="5"/>
      <c r="E33" s="105">
        <v>83</v>
      </c>
      <c r="F33" s="10" t="s">
        <v>19</v>
      </c>
      <c r="G33" s="106">
        <f>M26</f>
        <v>1696</v>
      </c>
      <c r="H33" s="10" t="s">
        <v>19</v>
      </c>
      <c r="I33" s="106">
        <v>0</v>
      </c>
      <c r="J33" s="5" t="s">
        <v>20</v>
      </c>
      <c r="K33" s="80">
        <f>E33*G33*I33/1000000</f>
        <v>0</v>
      </c>
      <c r="O33" s="5" t="s">
        <v>7</v>
      </c>
      <c r="P33" s="39" t="s">
        <v>7</v>
      </c>
      <c r="AL33" s="80"/>
      <c r="AM33" s="5"/>
    </row>
    <row r="34" spans="1:39" s="5" customFormat="1" ht="14.45" customHeight="1" thickTop="1" x14ac:dyDescent="0.25">
      <c r="E34"/>
      <c r="K34" s="81">
        <f>SUM(K30:K33)</f>
        <v>0</v>
      </c>
      <c r="L34" s="5" t="s">
        <v>38</v>
      </c>
      <c r="R34"/>
      <c r="S34"/>
      <c r="T34"/>
      <c r="U34"/>
      <c r="V34"/>
      <c r="W34"/>
      <c r="X34"/>
      <c r="Y34"/>
      <c r="Z34"/>
      <c r="AA34"/>
      <c r="AB34"/>
      <c r="AL34" s="80"/>
    </row>
    <row r="35" spans="1:39" s="5" customFormat="1" ht="7.15" customHeight="1" x14ac:dyDescent="0.25">
      <c r="E35"/>
      <c r="K35" s="80"/>
      <c r="R35"/>
      <c r="S35"/>
      <c r="T35"/>
      <c r="U35"/>
      <c r="V35"/>
      <c r="W35"/>
      <c r="X35"/>
      <c r="Y35"/>
      <c r="Z35"/>
      <c r="AA35"/>
      <c r="AB35"/>
      <c r="AL35" s="80"/>
    </row>
    <row r="36" spans="1:39" s="5" customFormat="1" x14ac:dyDescent="0.25">
      <c r="A36" s="21" t="s">
        <v>1</v>
      </c>
      <c r="B36" s="51"/>
      <c r="C36" s="51"/>
      <c r="D36" s="51"/>
      <c r="E36" s="52"/>
      <c r="F36" s="51"/>
      <c r="G36" s="53" t="s">
        <v>21</v>
      </c>
      <c r="H36" s="53"/>
      <c r="I36" s="53" t="s">
        <v>22</v>
      </c>
      <c r="J36" s="51"/>
      <c r="K36" s="51" t="s">
        <v>23</v>
      </c>
      <c r="L36" s="51"/>
      <c r="M36" s="51" t="s">
        <v>24</v>
      </c>
      <c r="Q36" s="51"/>
      <c r="R36"/>
      <c r="S36"/>
      <c r="T36"/>
      <c r="U36"/>
      <c r="V36"/>
      <c r="W36"/>
      <c r="X36"/>
      <c r="Y36"/>
      <c r="Z36"/>
      <c r="AA36"/>
      <c r="AB36"/>
    </row>
    <row r="37" spans="1:39" s="5" customFormat="1" x14ac:dyDescent="0.25">
      <c r="B37" s="5" t="s">
        <v>3</v>
      </c>
      <c r="E37" s="107">
        <v>1</v>
      </c>
      <c r="F37" s="5" t="s">
        <v>20</v>
      </c>
      <c r="G37" s="105">
        <f>M24</f>
        <v>660</v>
      </c>
      <c r="H37" s="10" t="s">
        <v>19</v>
      </c>
      <c r="I37" s="105">
        <f>M26</f>
        <v>1696</v>
      </c>
      <c r="J37" s="10" t="s">
        <v>19</v>
      </c>
      <c r="K37" s="80">
        <f>E37*G37*I37/1000000</f>
        <v>1.1193599999999999</v>
      </c>
      <c r="M37" s="80">
        <f>E37*2*(G37+I37)/1000</f>
        <v>4.7119999999999997</v>
      </c>
      <c r="N37" s="74"/>
      <c r="O37" s="9"/>
      <c r="P37" s="9"/>
      <c r="R37"/>
      <c r="S37"/>
      <c r="T37"/>
      <c r="U37"/>
      <c r="V37"/>
      <c r="W37"/>
      <c r="X37"/>
      <c r="Y37"/>
      <c r="Z37"/>
      <c r="AA37"/>
      <c r="AB37"/>
    </row>
    <row r="38" spans="1:39" s="5" customFormat="1" x14ac:dyDescent="0.25">
      <c r="B38" s="5" t="s">
        <v>3</v>
      </c>
      <c r="E38" s="107">
        <v>0</v>
      </c>
      <c r="F38" s="5" t="s">
        <v>20</v>
      </c>
      <c r="G38" s="105">
        <v>0</v>
      </c>
      <c r="H38" s="10" t="s">
        <v>19</v>
      </c>
      <c r="I38" s="105">
        <v>0</v>
      </c>
      <c r="J38" s="10" t="s">
        <v>19</v>
      </c>
      <c r="K38" s="80">
        <f>E38*G38*I38/1000000</f>
        <v>0</v>
      </c>
      <c r="M38" s="80">
        <f>E38*2*(G38+I38)/1000</f>
        <v>0</v>
      </c>
      <c r="N38" s="48"/>
      <c r="R38"/>
      <c r="S38"/>
      <c r="T38"/>
      <c r="U38"/>
      <c r="V38"/>
      <c r="W38"/>
      <c r="X38"/>
      <c r="Y38"/>
      <c r="Z38"/>
      <c r="AA38"/>
      <c r="AB38"/>
    </row>
    <row r="39" spans="1:39" s="5" customFormat="1" x14ac:dyDescent="0.25">
      <c r="B39" s="5" t="s">
        <v>3</v>
      </c>
      <c r="E39" s="107">
        <v>0</v>
      </c>
      <c r="F39" s="5" t="s">
        <v>20</v>
      </c>
      <c r="G39" s="105">
        <v>0</v>
      </c>
      <c r="H39" s="10" t="s">
        <v>19</v>
      </c>
      <c r="I39" s="105">
        <v>0</v>
      </c>
      <c r="J39" s="10" t="s">
        <v>19</v>
      </c>
      <c r="K39" s="80">
        <f>E39*G39*I39/1000000</f>
        <v>0</v>
      </c>
      <c r="M39" s="80">
        <f>E39*2*(G39+I39)/1000</f>
        <v>0</v>
      </c>
      <c r="N39" s="48"/>
      <c r="R39"/>
      <c r="S39"/>
      <c r="T39"/>
      <c r="U39"/>
      <c r="V39"/>
      <c r="W39"/>
      <c r="X39"/>
      <c r="Y39"/>
      <c r="Z39"/>
      <c r="AA39"/>
      <c r="AB39"/>
    </row>
    <row r="40" spans="1:39" s="5" customFormat="1" ht="15.75" thickBot="1" x14ac:dyDescent="0.3">
      <c r="B40" s="5" t="s">
        <v>3</v>
      </c>
      <c r="E40" s="107">
        <v>0</v>
      </c>
      <c r="F40" s="5" t="s">
        <v>20</v>
      </c>
      <c r="G40" s="105">
        <v>0</v>
      </c>
      <c r="H40" s="10" t="s">
        <v>19</v>
      </c>
      <c r="I40" s="105">
        <v>0</v>
      </c>
      <c r="J40" s="10" t="s">
        <v>19</v>
      </c>
      <c r="K40" s="80">
        <f>E40*G40*I40/1000000</f>
        <v>0</v>
      </c>
      <c r="M40" s="80">
        <f>E40*2*(G40+I40)/1000</f>
        <v>0</v>
      </c>
      <c r="N40" s="48"/>
      <c r="R40"/>
      <c r="S40"/>
      <c r="T40"/>
      <c r="U40"/>
      <c r="V40"/>
      <c r="W40"/>
      <c r="X40"/>
      <c r="Y40"/>
      <c r="Z40"/>
      <c r="AA40"/>
      <c r="AB40"/>
    </row>
    <row r="41" spans="1:39" s="5" customFormat="1" ht="12.75" thickTop="1" x14ac:dyDescent="0.2">
      <c r="E41" s="7" t="s">
        <v>7</v>
      </c>
      <c r="K41" s="81">
        <f>SUM(K37:K40)</f>
        <v>1.1193599999999999</v>
      </c>
      <c r="L41" s="5" t="s">
        <v>38</v>
      </c>
      <c r="M41" s="81">
        <f>SUM(M37:M40)</f>
        <v>4.7119999999999997</v>
      </c>
      <c r="N41" s="54" t="s">
        <v>35</v>
      </c>
      <c r="S41" s="5" t="s">
        <v>7</v>
      </c>
    </row>
    <row r="42" spans="1:39" s="5" customFormat="1" x14ac:dyDescent="0.25">
      <c r="A42" s="20" t="s">
        <v>74</v>
      </c>
      <c r="E42"/>
      <c r="F42" s="7" t="s">
        <v>75</v>
      </c>
      <c r="G42" s="7" t="s">
        <v>87</v>
      </c>
      <c r="H42" s="7"/>
      <c r="I42" s="7" t="s">
        <v>88</v>
      </c>
      <c r="R42"/>
      <c r="S42"/>
      <c r="T42"/>
      <c r="U42"/>
      <c r="V42"/>
      <c r="W42"/>
      <c r="X42"/>
      <c r="Y42"/>
      <c r="Z42"/>
      <c r="AA42"/>
      <c r="AB42"/>
    </row>
    <row r="43" spans="1:39" s="5" customFormat="1" x14ac:dyDescent="0.25">
      <c r="A43" s="9"/>
      <c r="B43" s="9" t="s">
        <v>83</v>
      </c>
      <c r="C43" s="9"/>
      <c r="D43" s="9"/>
      <c r="E43" s="116" t="s">
        <v>131</v>
      </c>
      <c r="F43" s="112">
        <f>IF(E43="T1",AF7,IF(E43="T101",AF8,IF(E43="T104",AF9,IF(E43="T111",AF10,IF(E43="T114",AF11,IF(E43="T121",AF12,IF(E43="T124",AF13,IF(E43="T132",AF14,IF(E43="T135",AF15,IF(E43="T147",AF16,IF(E43="T157",AF17,IF(E43="T163",AF18,IF(E43="T166",AF19,IF(E43="T178",AF20,IF(E43="T189",AF21,IF(E43="geen",AF22))))))))))))))))</f>
        <v>1.5980000000000001</v>
      </c>
      <c r="G43" s="49">
        <f>IF(E43="T1",AH7,IF(E43="T101",AH8,IF(E43="T104",AH9,IF(E43="T111",AH10,IF(E43="T114",AH11,IF(E43="T121",AH12,IF(E43="T124",AH13,IF(E43="T132",AH14,IF(E43="T135",AH15,IF(E43="T147",AH16,IF(E43="T157",AH17,IF(E43="T163",AH18,IF(E43="T166",AH19,IF(E43="T178",AH20,IF(E43="T189",AH21,IF(E43="geen",AH22,"geen waarde"))))))))))))))))</f>
        <v>27</v>
      </c>
      <c r="H43" s="91" t="s">
        <v>19</v>
      </c>
      <c r="I43" s="49" t="str">
        <f>IF(E43="T1",AI7,IF(E43="T101",AI8,IF(E43="T104",AI9,IF(E43= "T111",AI10,IF(E43="T114",AI11,IF(E43="T121",AI12,IF(E43="T124",AI13,IF(E43="T132",AI14,IF(E43="T135",AI15,IF(E43="T147",AI16,IF(E43="T157",AI17,IF(E43="T163",AI18,IF(E43="T166",AI19,IF(E43="T178",AI20,IF(E43="T189",AI21,IF(E43="geen",AH22,"geen waarde"))))))))))))))))</f>
        <v>1-zijdig</v>
      </c>
      <c r="J43" s="9" t="s">
        <v>7</v>
      </c>
      <c r="K43" s="9"/>
      <c r="L43" s="9"/>
      <c r="M43" s="9"/>
      <c r="N43" s="9"/>
      <c r="O43" s="68" t="s">
        <v>106</v>
      </c>
      <c r="P43" s="87" t="s">
        <v>114</v>
      </c>
      <c r="Q43" s="69"/>
      <c r="R43"/>
      <c r="S43"/>
      <c r="T43"/>
      <c r="X43"/>
      <c r="Y43"/>
      <c r="Z43"/>
      <c r="AA43"/>
      <c r="AB43"/>
    </row>
    <row r="44" spans="1:39" s="5" customFormat="1" x14ac:dyDescent="0.25">
      <c r="F44" s="7"/>
      <c r="G44" s="7" t="s">
        <v>21</v>
      </c>
      <c r="H44" s="7"/>
      <c r="I44" s="7" t="s">
        <v>22</v>
      </c>
      <c r="K44" s="5" t="s">
        <v>23</v>
      </c>
      <c r="M44" s="5" t="s">
        <v>24</v>
      </c>
      <c r="O44" s="70" t="s">
        <v>113</v>
      </c>
      <c r="P44" s="88" t="s">
        <v>115</v>
      </c>
      <c r="Q44" s="71"/>
      <c r="R44"/>
      <c r="S44"/>
      <c r="T44"/>
      <c r="U44"/>
      <c r="X44"/>
      <c r="Y44"/>
      <c r="Z44"/>
      <c r="AA44"/>
      <c r="AB44"/>
    </row>
    <row r="45" spans="1:39" s="5" customFormat="1" x14ac:dyDescent="0.25">
      <c r="B45" s="5" t="s">
        <v>3</v>
      </c>
      <c r="C45" s="5" t="s">
        <v>7</v>
      </c>
      <c r="E45" s="105">
        <v>0</v>
      </c>
      <c r="F45" s="5" t="s">
        <v>20</v>
      </c>
      <c r="G45" s="105">
        <f>M24</f>
        <v>660</v>
      </c>
      <c r="H45" s="10" t="s">
        <v>19</v>
      </c>
      <c r="I45" s="105">
        <f>M26</f>
        <v>1696</v>
      </c>
      <c r="J45" s="10" t="s">
        <v>19</v>
      </c>
      <c r="K45" s="80">
        <f>E45*G45*I45/1000000</f>
        <v>0</v>
      </c>
      <c r="M45" s="80">
        <f>E45*2*(G45+I45)/1000</f>
        <v>0</v>
      </c>
      <c r="N45" s="48"/>
      <c r="O45" s="72" t="s">
        <v>107</v>
      </c>
      <c r="P45" s="89" t="s">
        <v>123</v>
      </c>
      <c r="Q45" s="73"/>
      <c r="R45"/>
      <c r="S45"/>
      <c r="T45"/>
      <c r="U45"/>
      <c r="W45"/>
      <c r="X45"/>
      <c r="Y45"/>
      <c r="Z45" t="s">
        <v>7</v>
      </c>
      <c r="AA45"/>
      <c r="AB45"/>
    </row>
    <row r="46" spans="1:39" s="5" customFormat="1" x14ac:dyDescent="0.25">
      <c r="B46" s="5" t="s">
        <v>3</v>
      </c>
      <c r="C46" s="5" t="s">
        <v>7</v>
      </c>
      <c r="E46" s="105">
        <v>0</v>
      </c>
      <c r="F46" s="5" t="s">
        <v>20</v>
      </c>
      <c r="G46" s="105">
        <v>0</v>
      </c>
      <c r="H46" s="10" t="s">
        <v>19</v>
      </c>
      <c r="I46" s="105">
        <v>0</v>
      </c>
      <c r="J46" s="10" t="s">
        <v>19</v>
      </c>
      <c r="K46" s="80">
        <f>E46*G46*I46/1000000</f>
        <v>0</v>
      </c>
      <c r="M46" s="80">
        <f>E46*2*(G46+I46)/1000</f>
        <v>0</v>
      </c>
      <c r="N46" s="48"/>
      <c r="R46"/>
      <c r="S46"/>
      <c r="T46"/>
      <c r="U46"/>
      <c r="W46"/>
      <c r="X46"/>
      <c r="Y46"/>
      <c r="Z46"/>
      <c r="AA46"/>
      <c r="AB46"/>
    </row>
    <row r="47" spans="1:39" s="5" customFormat="1" x14ac:dyDescent="0.25">
      <c r="B47" s="5" t="s">
        <v>3</v>
      </c>
      <c r="C47" s="5" t="s">
        <v>7</v>
      </c>
      <c r="E47" s="105">
        <v>0</v>
      </c>
      <c r="F47" s="5" t="s">
        <v>20</v>
      </c>
      <c r="G47" s="105">
        <v>0</v>
      </c>
      <c r="H47" s="10" t="s">
        <v>19</v>
      </c>
      <c r="I47" s="105">
        <v>0</v>
      </c>
      <c r="J47" s="10" t="s">
        <v>19</v>
      </c>
      <c r="K47" s="80">
        <f>E47*G47*I47/1000000</f>
        <v>0</v>
      </c>
      <c r="M47" s="80">
        <f>E47*2*(G47+I47)/1000</f>
        <v>0</v>
      </c>
      <c r="N47" s="48"/>
      <c r="R47"/>
      <c r="S47"/>
      <c r="T47"/>
      <c r="U47"/>
      <c r="W47"/>
      <c r="X47"/>
      <c r="Y47"/>
      <c r="Z47"/>
      <c r="AA47"/>
      <c r="AB47"/>
    </row>
    <row r="48" spans="1:39" s="5" customFormat="1" ht="15.75" thickBot="1" x14ac:dyDescent="0.3">
      <c r="B48" s="5" t="s">
        <v>3</v>
      </c>
      <c r="C48" s="5" t="s">
        <v>7</v>
      </c>
      <c r="E48" s="105">
        <v>0</v>
      </c>
      <c r="F48" s="5" t="s">
        <v>20</v>
      </c>
      <c r="G48" s="105">
        <v>0</v>
      </c>
      <c r="H48" s="10" t="s">
        <v>19</v>
      </c>
      <c r="I48" s="105">
        <v>0</v>
      </c>
      <c r="J48" s="10" t="s">
        <v>19</v>
      </c>
      <c r="K48" s="80">
        <f>E48*G48*I48/1000000</f>
        <v>0</v>
      </c>
      <c r="M48" s="80">
        <f>E48*2*(G48+I48)/1000</f>
        <v>0</v>
      </c>
      <c r="N48" s="48"/>
      <c r="P48" s="5" t="s">
        <v>7</v>
      </c>
      <c r="R48"/>
      <c r="S48"/>
      <c r="T48"/>
      <c r="U48"/>
      <c r="V48" s="7" t="s">
        <v>7</v>
      </c>
      <c r="W48"/>
      <c r="X48"/>
      <c r="Y48" t="s">
        <v>7</v>
      </c>
      <c r="Z48"/>
      <c r="AA48"/>
      <c r="AB48"/>
    </row>
    <row r="49" spans="1:35" s="5" customFormat="1" ht="12.75" thickTop="1" x14ac:dyDescent="0.2">
      <c r="C49" s="5" t="s">
        <v>7</v>
      </c>
      <c r="E49" s="7" t="s">
        <v>7</v>
      </c>
      <c r="K49" s="81">
        <f>SUM(K45:K48)</f>
        <v>0</v>
      </c>
      <c r="L49" s="5" t="s">
        <v>38</v>
      </c>
      <c r="M49" s="81">
        <f>SUM(M45:M48)</f>
        <v>0</v>
      </c>
      <c r="N49" s="54" t="s">
        <v>35</v>
      </c>
      <c r="P49" s="39" t="s">
        <v>7</v>
      </c>
      <c r="S49" s="5" t="s">
        <v>7</v>
      </c>
    </row>
    <row r="50" spans="1:35" s="5" customFormat="1" x14ac:dyDescent="0.25">
      <c r="A50" s="21" t="s">
        <v>2</v>
      </c>
      <c r="B50" s="51"/>
      <c r="C50" s="51"/>
      <c r="D50" s="51"/>
      <c r="E50" s="53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35" s="5" customFormat="1" x14ac:dyDescent="0.25">
      <c r="B51" s="5" t="s">
        <v>79</v>
      </c>
      <c r="E51" s="67">
        <v>1.1000000000000001</v>
      </c>
      <c r="F51" s="10" t="s">
        <v>25</v>
      </c>
      <c r="G51" s="5" t="s">
        <v>7</v>
      </c>
      <c r="I51" s="5" t="s">
        <v>7</v>
      </c>
      <c r="J51" s="5" t="s">
        <v>7</v>
      </c>
      <c r="K51" s="55" t="s">
        <v>97</v>
      </c>
      <c r="L51" s="112">
        <f>F43</f>
        <v>1.5980000000000001</v>
      </c>
      <c r="M51" s="10" t="s">
        <v>25</v>
      </c>
      <c r="Q51" s="5" t="s">
        <v>7</v>
      </c>
    </row>
    <row r="52" spans="1:35" s="5" customFormat="1" x14ac:dyDescent="0.25">
      <c r="B52" s="39" t="s">
        <v>78</v>
      </c>
      <c r="E52" s="115">
        <v>0.08</v>
      </c>
      <c r="F52" s="10" t="s">
        <v>26</v>
      </c>
      <c r="G52" s="5" t="s">
        <v>7</v>
      </c>
      <c r="J52" s="5" t="s">
        <v>7</v>
      </c>
      <c r="K52" s="56" t="s">
        <v>84</v>
      </c>
      <c r="L52" s="114">
        <f>IF(E43="T1",AG7,IF(E43="T101",AG8,IF(E43="T104",AG9,IF(E43="T111",AG10,IF(E43="T114",AG11,IF(E43="T121",AG12,IF(E43="T124",AG13,IF(E43="T132",AG14,IF(E43="T135",AG15,IF(E43="T147",AG16,IF(E43="T157",AG17,IF(E43="T163",AG18,IF(E43="T166",AG19,IF(E43="T178",AG20,IF(E43="T189",AG21,IF(E43="geen",AG22))))))))))))))))</f>
        <v>0.01</v>
      </c>
      <c r="M52" s="10" t="s">
        <v>26</v>
      </c>
      <c r="S52" s="20"/>
      <c r="V52" s="41"/>
      <c r="W52" s="7"/>
      <c r="AC52" s="30"/>
      <c r="AH52" s="30"/>
      <c r="AI52" s="30"/>
    </row>
    <row r="53" spans="1:35" s="5" customFormat="1" x14ac:dyDescent="0.25">
      <c r="B53" s="5" t="s">
        <v>42</v>
      </c>
      <c r="E53" s="108" t="s">
        <v>27</v>
      </c>
      <c r="F53" s="57" t="str">
        <f>IF(E53="nee", "  ","             totale lengte :")</f>
        <v xml:space="preserve">  </v>
      </c>
      <c r="G53" s="57"/>
      <c r="H53" s="109">
        <v>0</v>
      </c>
      <c r="I53" s="58" t="str">
        <f>IF(E53="nee"," ","mm")</f>
        <v xml:space="preserve"> </v>
      </c>
      <c r="J53" s="5" t="s">
        <v>7</v>
      </c>
      <c r="K53" s="40" t="s">
        <v>96</v>
      </c>
      <c r="L53" s="49">
        <f>IF(E20=38,T8,IF(E20=54,T9,IF(E20=67,T10,IF(E20=82,T11,geen waarde))))</f>
        <v>1.6E-2</v>
      </c>
      <c r="M53" s="10" t="s">
        <v>26</v>
      </c>
      <c r="P53" s="7"/>
      <c r="Q53" s="5" t="s">
        <v>7</v>
      </c>
      <c r="S53" s="31"/>
      <c r="T53"/>
      <c r="U53"/>
      <c r="V53" s="41"/>
      <c r="W53" s="7"/>
      <c r="X53"/>
      <c r="Y53"/>
      <c r="Z53"/>
      <c r="AA53"/>
      <c r="AB53"/>
      <c r="AC53"/>
      <c r="AD53"/>
      <c r="AE53"/>
      <c r="AF53"/>
      <c r="AH53" s="32"/>
      <c r="AI53" s="32"/>
    </row>
    <row r="54" spans="1:35" s="5" customFormat="1" ht="6.6" customHeight="1" thickBot="1" x14ac:dyDescent="0.3">
      <c r="I54" s="7"/>
      <c r="O54" s="5" t="s">
        <v>7</v>
      </c>
      <c r="T54" s="8"/>
      <c r="V54" s="41"/>
      <c r="W54" s="7"/>
      <c r="X54" s="8"/>
      <c r="Y54" s="8"/>
      <c r="Z54" s="8"/>
      <c r="AA54" s="8"/>
      <c r="AB54" s="8"/>
      <c r="AC54" s="33"/>
      <c r="AD54" s="33"/>
      <c r="AE54" s="33"/>
      <c r="AH54" s="7"/>
      <c r="AI54" s="7"/>
    </row>
    <row r="55" spans="1:35" ht="15.75" thickBot="1" x14ac:dyDescent="0.3">
      <c r="A55" s="2" t="s">
        <v>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4"/>
      <c r="S55" s="5"/>
      <c r="T55" s="35"/>
      <c r="U55" s="34"/>
      <c r="W55" s="35"/>
      <c r="X55" s="35"/>
      <c r="Y55" s="35"/>
      <c r="Z55" s="35"/>
      <c r="AA55" s="35"/>
      <c r="AB55" s="35"/>
      <c r="AC55" s="35"/>
      <c r="AD55" s="35"/>
      <c r="AE55" s="35"/>
      <c r="AF55" s="5"/>
      <c r="AH55" s="8"/>
      <c r="AI55" s="8"/>
    </row>
    <row r="56" spans="1:35" s="5" customFormat="1" ht="15" customHeight="1" x14ac:dyDescent="0.25">
      <c r="A56" s="22" t="s">
        <v>44</v>
      </c>
      <c r="E56" s="7" t="s">
        <v>30</v>
      </c>
      <c r="G56" s="5" t="s">
        <v>7</v>
      </c>
      <c r="I56" s="7" t="s">
        <v>29</v>
      </c>
      <c r="K56" s="5" t="s">
        <v>7</v>
      </c>
      <c r="L56" s="7" t="s">
        <v>28</v>
      </c>
      <c r="O56" s="7" t="s">
        <v>12</v>
      </c>
      <c r="P56" s="10" t="s">
        <v>40</v>
      </c>
      <c r="T56" s="35"/>
      <c r="U56" s="34"/>
      <c r="V56"/>
      <c r="W56" s="35"/>
      <c r="X56" s="35"/>
      <c r="Y56" s="35"/>
      <c r="Z56" s="35"/>
      <c r="AA56" s="35"/>
      <c r="AB56" s="35"/>
      <c r="AC56" s="35"/>
      <c r="AD56" s="35"/>
      <c r="AE56" s="35"/>
      <c r="AH56" s="8"/>
      <c r="AI56" s="8"/>
    </row>
    <row r="57" spans="1:35" s="5" customFormat="1" ht="15" customHeight="1" x14ac:dyDescent="0.25">
      <c r="B57" s="5" t="s">
        <v>80</v>
      </c>
      <c r="E57" s="59">
        <f>E24</f>
        <v>140</v>
      </c>
      <c r="F57" s="10" t="s">
        <v>10</v>
      </c>
      <c r="G57" s="5" t="s">
        <v>7</v>
      </c>
      <c r="I57" s="82">
        <f>2*E24*E19/1000000</f>
        <v>0.61599999999999999</v>
      </c>
      <c r="L57" s="84">
        <f>1/(E20/M21/1000+0.17)</f>
        <v>1.3729977116704803</v>
      </c>
      <c r="M57" s="5" t="s">
        <v>7</v>
      </c>
      <c r="O57" s="82">
        <f>I57*L57</f>
        <v>0.84576659038901592</v>
      </c>
      <c r="T57" s="35"/>
      <c r="U57" s="34"/>
      <c r="V57"/>
      <c r="W57" s="35"/>
      <c r="X57" s="35"/>
      <c r="Y57" s="35"/>
      <c r="Z57" s="35"/>
      <c r="AA57" s="35"/>
      <c r="AB57" s="35"/>
      <c r="AC57" s="35"/>
      <c r="AD57" s="35"/>
      <c r="AE57" s="35"/>
      <c r="AH57" s="8"/>
      <c r="AI57" s="8"/>
    </row>
    <row r="58" spans="1:35" s="5" customFormat="1" ht="15" customHeight="1" x14ac:dyDescent="0.25">
      <c r="B58" s="5" t="s">
        <v>50</v>
      </c>
      <c r="E58" s="59">
        <f>E25</f>
        <v>140</v>
      </c>
      <c r="F58" s="10" t="s">
        <v>10</v>
      </c>
      <c r="G58" s="5" t="s">
        <v>7</v>
      </c>
      <c r="I58" s="82">
        <f>E25*(E18-2*E24)/1000000</f>
        <v>9.2399999999999996E-2</v>
      </c>
      <c r="L58" s="84">
        <f>L57</f>
        <v>1.3729977116704803</v>
      </c>
      <c r="M58" s="5" t="s">
        <v>7</v>
      </c>
      <c r="O58" s="82">
        <f t="shared" ref="O58:O63" si="0">I58*L58</f>
        <v>0.12686498855835238</v>
      </c>
      <c r="T58" s="8"/>
      <c r="V58"/>
      <c r="W58" s="8"/>
      <c r="X58" s="8"/>
      <c r="Y58"/>
      <c r="Z58" s="8"/>
      <c r="AA58" s="8"/>
      <c r="AB58"/>
      <c r="AC58" s="8"/>
      <c r="AD58"/>
      <c r="AE58"/>
      <c r="AH58" s="7"/>
      <c r="AI58" s="7"/>
    </row>
    <row r="59" spans="1:35" s="5" customFormat="1" ht="13.15" customHeight="1" x14ac:dyDescent="0.25">
      <c r="B59" s="5" t="s">
        <v>101</v>
      </c>
      <c r="E59" s="59">
        <f>E26</f>
        <v>364</v>
      </c>
      <c r="F59" s="10" t="s">
        <v>10</v>
      </c>
      <c r="G59" s="5" t="s">
        <v>7</v>
      </c>
      <c r="I59" s="82">
        <f>IF(E26="volgestapeld",U27,(E18-2*E24)*E26/1000000)</f>
        <v>0.24024000000000001</v>
      </c>
      <c r="L59" s="84">
        <f>L57</f>
        <v>1.3729977116704803</v>
      </c>
      <c r="M59" s="5" t="s">
        <v>7</v>
      </c>
      <c r="O59" s="82">
        <f t="shared" si="0"/>
        <v>0.32984897025171622</v>
      </c>
      <c r="AH59" s="7"/>
      <c r="AI59" s="7"/>
    </row>
    <row r="60" spans="1:35" s="5" customFormat="1" ht="13.15" customHeight="1" x14ac:dyDescent="0.25">
      <c r="B60" s="5" t="s">
        <v>81</v>
      </c>
      <c r="E60" s="59">
        <f>(E27*I27+E28*I28+E29*I29)</f>
        <v>0</v>
      </c>
      <c r="F60" s="10" t="s">
        <v>10</v>
      </c>
      <c r="G60" s="5" t="s">
        <v>7</v>
      </c>
      <c r="I60" s="82">
        <f>(E18-2*E24)*(E27*I27+E28*I28+E29*I29)/1000000</f>
        <v>0</v>
      </c>
      <c r="L60" s="84">
        <f>L57</f>
        <v>1.3729977116704803</v>
      </c>
      <c r="M60" s="61" t="s">
        <v>7</v>
      </c>
      <c r="O60" s="82">
        <f t="shared" si="0"/>
        <v>0</v>
      </c>
      <c r="S60"/>
      <c r="T60"/>
      <c r="U60"/>
      <c r="V60"/>
      <c r="W60"/>
      <c r="X60"/>
      <c r="Y60"/>
      <c r="Z60"/>
      <c r="AA60"/>
      <c r="AB60"/>
      <c r="AC60"/>
      <c r="AD60"/>
      <c r="AE60"/>
      <c r="AH60" s="32"/>
      <c r="AI60" s="32"/>
    </row>
    <row r="61" spans="1:35" s="5" customFormat="1" ht="15" customHeight="1" x14ac:dyDescent="0.25">
      <c r="B61" s="5" t="s">
        <v>93</v>
      </c>
      <c r="E61" s="59">
        <f>I31+I32+I33</f>
        <v>0</v>
      </c>
      <c r="F61" s="10" t="s">
        <v>11</v>
      </c>
      <c r="G61" s="5" t="s">
        <v>7</v>
      </c>
      <c r="I61" s="82">
        <f>K34</f>
        <v>0</v>
      </c>
      <c r="J61" s="5" t="s">
        <v>7</v>
      </c>
      <c r="K61" s="61" t="s">
        <v>7</v>
      </c>
      <c r="L61" s="84">
        <f>L57</f>
        <v>1.3729977116704803</v>
      </c>
      <c r="M61" s="5" t="s">
        <v>7</v>
      </c>
      <c r="O61" s="82">
        <f>I61*L61</f>
        <v>0</v>
      </c>
      <c r="P61" s="5" t="s">
        <v>7</v>
      </c>
      <c r="S61"/>
      <c r="T61" s="36"/>
      <c r="U61"/>
      <c r="V61"/>
      <c r="W61" s="36"/>
      <c r="X61" s="36"/>
      <c r="Y61" s="36"/>
      <c r="Z61" s="36"/>
      <c r="AA61" s="36"/>
      <c r="AB61" s="36"/>
      <c r="AC61" s="37"/>
      <c r="AD61" s="36"/>
      <c r="AE61" s="36"/>
      <c r="AH61" s="38"/>
      <c r="AI61" s="38"/>
    </row>
    <row r="62" spans="1:35" s="5" customFormat="1" ht="15" customHeight="1" x14ac:dyDescent="0.25">
      <c r="B62" s="5" t="s">
        <v>1</v>
      </c>
      <c r="E62" s="62">
        <f>SUM(E37:E40)</f>
        <v>1</v>
      </c>
      <c r="F62" s="10" t="s">
        <v>11</v>
      </c>
      <c r="G62" s="5" t="s">
        <v>7</v>
      </c>
      <c r="I62" s="82">
        <f>K41</f>
        <v>1.1193599999999999</v>
      </c>
      <c r="L62" s="84">
        <f>E51</f>
        <v>1.1000000000000001</v>
      </c>
      <c r="M62" s="5" t="s">
        <v>7</v>
      </c>
      <c r="O62" s="82">
        <f t="shared" si="0"/>
        <v>1.2312959999999999</v>
      </c>
      <c r="T62" s="35"/>
      <c r="V62"/>
      <c r="W62" s="35"/>
      <c r="X62" s="35"/>
      <c r="Y62" s="35"/>
      <c r="Z62" s="35"/>
      <c r="AA62" s="35"/>
      <c r="AB62" s="35"/>
      <c r="AC62" s="35"/>
      <c r="AD62" s="35"/>
      <c r="AE62" s="35"/>
      <c r="AH62" s="35"/>
      <c r="AI62" s="35"/>
    </row>
    <row r="63" spans="1:35" s="5" customFormat="1" ht="15" customHeight="1" thickBot="1" x14ac:dyDescent="0.3">
      <c r="B63" s="5" t="s">
        <v>82</v>
      </c>
      <c r="E63" s="59">
        <f>SUM(E45:E48)</f>
        <v>0</v>
      </c>
      <c r="F63" s="10" t="s">
        <v>11</v>
      </c>
      <c r="G63" s="5" t="s">
        <v>7</v>
      </c>
      <c r="I63" s="83">
        <f>K49</f>
        <v>0</v>
      </c>
      <c r="J63" s="6" t="s">
        <v>37</v>
      </c>
      <c r="L63" s="84">
        <f>L51</f>
        <v>1.5980000000000001</v>
      </c>
      <c r="M63" s="5" t="s">
        <v>7</v>
      </c>
      <c r="O63" s="83">
        <f t="shared" si="0"/>
        <v>0</v>
      </c>
      <c r="P63" s="6" t="s">
        <v>37</v>
      </c>
      <c r="T63" s="8"/>
      <c r="W63" s="35"/>
      <c r="X63" s="35"/>
      <c r="Y63" s="35"/>
      <c r="Z63" s="8"/>
      <c r="AA63" s="35"/>
      <c r="AB63" s="35"/>
      <c r="AC63" s="35"/>
      <c r="AD63" s="35"/>
      <c r="AE63" s="35"/>
      <c r="AH63" s="35"/>
      <c r="AI63" s="35"/>
    </row>
    <row r="64" spans="1:35" s="5" customFormat="1" ht="15" customHeight="1" thickTop="1" x14ac:dyDescent="0.25">
      <c r="E64"/>
      <c r="F64" s="10" t="s">
        <v>116</v>
      </c>
      <c r="G64"/>
      <c r="H64"/>
      <c r="I64" s="80">
        <f>SUM(I57:I63)</f>
        <v>2.0680000000000001</v>
      </c>
      <c r="J64" s="10" t="s">
        <v>32</v>
      </c>
      <c r="K64"/>
      <c r="L64" s="8"/>
      <c r="M64"/>
      <c r="N64"/>
      <c r="O64" s="80">
        <f>SUM(O57:O63)</f>
        <v>2.5337765491990845</v>
      </c>
      <c r="P64" s="10" t="s">
        <v>112</v>
      </c>
      <c r="T64" s="35"/>
      <c r="V64"/>
      <c r="W64" s="35"/>
      <c r="X64" s="35"/>
      <c r="Y64" s="35"/>
      <c r="Z64" s="35"/>
      <c r="AA64" s="35"/>
      <c r="AB64" s="35"/>
      <c r="AC64" s="35"/>
      <c r="AD64" s="35"/>
      <c r="AE64" s="35"/>
      <c r="AH64" s="35"/>
      <c r="AI64" s="35"/>
    </row>
    <row r="65" spans="1:35" s="5" customFormat="1" ht="15" customHeight="1" x14ac:dyDescent="0.25">
      <c r="F65" s="10" t="s">
        <v>117</v>
      </c>
      <c r="I65" s="80">
        <f>E18*E19/1000000</f>
        <v>2.0680000000000001</v>
      </c>
      <c r="J65" s="10" t="s">
        <v>32</v>
      </c>
      <c r="L65" s="7"/>
      <c r="O65" s="7"/>
      <c r="Q65"/>
      <c r="T65" s="8"/>
      <c r="W65" s="8"/>
      <c r="X65" s="8"/>
      <c r="Y65" s="35"/>
      <c r="Z65" s="8"/>
      <c r="AA65" s="8"/>
      <c r="AB65" s="35"/>
      <c r="AC65" s="35"/>
      <c r="AD65" s="35"/>
      <c r="AE65" s="35"/>
      <c r="AH65" s="35"/>
      <c r="AI65" s="35"/>
    </row>
    <row r="66" spans="1:35" s="5" customFormat="1" ht="15.75" x14ac:dyDescent="0.25">
      <c r="A66" s="22" t="s">
        <v>45</v>
      </c>
      <c r="E66"/>
      <c r="I66" s="48" t="s">
        <v>39</v>
      </c>
      <c r="L66" s="56" t="s">
        <v>95</v>
      </c>
      <c r="O66" s="7" t="s">
        <v>105</v>
      </c>
      <c r="P66" s="10" t="s">
        <v>40</v>
      </c>
      <c r="T66" s="35"/>
      <c r="V66"/>
      <c r="W66" s="35"/>
      <c r="X66" s="35"/>
      <c r="Y66" s="35"/>
      <c r="Z66" s="35"/>
      <c r="AA66" s="35"/>
      <c r="AB66" s="35"/>
      <c r="AC66" s="35"/>
      <c r="AD66" s="35"/>
      <c r="AE66" s="35"/>
      <c r="AH66" s="35"/>
      <c r="AI66" s="35"/>
    </row>
    <row r="67" spans="1:35" s="5" customFormat="1" x14ac:dyDescent="0.25">
      <c r="B67" s="5" t="s">
        <v>8</v>
      </c>
      <c r="E67" t="s">
        <v>7</v>
      </c>
      <c r="F67" s="5" t="s">
        <v>7</v>
      </c>
      <c r="I67" s="63">
        <f>M41</f>
        <v>4.7119999999999997</v>
      </c>
      <c r="J67" s="10" t="s">
        <v>7</v>
      </c>
      <c r="L67" s="60">
        <f>E52</f>
        <v>0.08</v>
      </c>
      <c r="M67" s="10" t="s">
        <v>7</v>
      </c>
      <c r="O67" s="82">
        <f t="shared" ref="O67:O68" si="1">I67*L67</f>
        <v>0.37695999999999996</v>
      </c>
      <c r="T67" s="35"/>
      <c r="V67"/>
      <c r="W67" s="35"/>
      <c r="X67" s="35"/>
      <c r="Y67" s="35"/>
      <c r="Z67" s="35"/>
      <c r="AA67" s="35"/>
      <c r="AB67" s="35"/>
      <c r="AC67" s="35"/>
      <c r="AD67" s="35"/>
      <c r="AE67" s="35"/>
      <c r="AH67" s="8"/>
      <c r="AI67" s="8"/>
    </row>
    <row r="68" spans="1:35" s="5" customFormat="1" x14ac:dyDescent="0.25">
      <c r="B68" s="5" t="s">
        <v>110</v>
      </c>
      <c r="E68"/>
      <c r="I68" s="63">
        <f>IF(E53="ja",H53/1000,0)</f>
        <v>0</v>
      </c>
      <c r="J68" s="10" t="s">
        <v>7</v>
      </c>
      <c r="L68" s="60">
        <f>E52</f>
        <v>0.08</v>
      </c>
      <c r="M68" s="10"/>
      <c r="O68" s="82">
        <f t="shared" si="1"/>
        <v>0</v>
      </c>
      <c r="T68"/>
      <c r="V68"/>
      <c r="W68"/>
      <c r="X68"/>
      <c r="Y68"/>
      <c r="Z68"/>
      <c r="AA68"/>
      <c r="AB68"/>
      <c r="AC68"/>
      <c r="AD68"/>
      <c r="AE68"/>
      <c r="AH68" s="7"/>
      <c r="AI68" s="7"/>
    </row>
    <row r="69" spans="1:35" s="5" customFormat="1" x14ac:dyDescent="0.25">
      <c r="B69" s="5" t="s">
        <v>111</v>
      </c>
      <c r="E69" t="s">
        <v>7</v>
      </c>
      <c r="F69" s="5" t="s">
        <v>7</v>
      </c>
      <c r="I69" s="63">
        <f>(E18-2*E24)*(Q26+I28)/1000</f>
        <v>1.32</v>
      </c>
      <c r="J69" s="10" t="s">
        <v>7</v>
      </c>
      <c r="L69" s="60">
        <f>L53</f>
        <v>1.6E-2</v>
      </c>
      <c r="M69" s="10" t="s">
        <v>7</v>
      </c>
      <c r="O69" s="82">
        <f t="shared" ref="O69" si="2">I69*L69</f>
        <v>2.112E-2</v>
      </c>
      <c r="T69" s="35"/>
      <c r="V69"/>
      <c r="W69" s="35"/>
      <c r="X69" s="35"/>
      <c r="Y69" s="35"/>
      <c r="Z69" s="35"/>
      <c r="AA69" s="35"/>
      <c r="AB69" s="35"/>
      <c r="AC69" s="35"/>
      <c r="AD69" s="35"/>
      <c r="AE69" s="35"/>
      <c r="AH69" s="8"/>
      <c r="AI69" s="8"/>
    </row>
    <row r="70" spans="1:35" s="5" customFormat="1" ht="15.75" thickBot="1" x14ac:dyDescent="0.3">
      <c r="B70" s="5" t="s">
        <v>92</v>
      </c>
      <c r="E70" t="s">
        <v>7</v>
      </c>
      <c r="F70" s="5" t="s">
        <v>7</v>
      </c>
      <c r="I70" s="63">
        <f>M49</f>
        <v>0</v>
      </c>
      <c r="J70" s="10" t="s">
        <v>7</v>
      </c>
      <c r="L70" s="60">
        <f>L52</f>
        <v>0.01</v>
      </c>
      <c r="M70" s="10" t="s">
        <v>7</v>
      </c>
      <c r="O70" s="83">
        <f t="shared" ref="O70" si="3">I70*L70</f>
        <v>0</v>
      </c>
      <c r="P70" s="6" t="s">
        <v>34</v>
      </c>
      <c r="T70" s="35"/>
      <c r="V70"/>
      <c r="W70" s="35"/>
      <c r="X70" s="35"/>
      <c r="Y70" s="35"/>
      <c r="Z70" s="35"/>
      <c r="AA70" s="35"/>
      <c r="AB70" s="35"/>
      <c r="AC70" s="35"/>
      <c r="AD70" s="35"/>
      <c r="AE70" s="35"/>
      <c r="AH70" s="8"/>
      <c r="AI70" s="8"/>
    </row>
    <row r="71" spans="1:35" s="5" customFormat="1" ht="16.5" thickTop="1" thickBot="1" x14ac:dyDescent="0.3">
      <c r="E71" s="7"/>
      <c r="I71" s="48"/>
      <c r="L71" s="7"/>
      <c r="O71" s="85">
        <f>SUM(O67:O70)</f>
        <v>0.39807999999999999</v>
      </c>
      <c r="P71" s="64" t="s">
        <v>34</v>
      </c>
      <c r="T71"/>
      <c r="V71"/>
      <c r="W71"/>
      <c r="X71"/>
      <c r="Y71"/>
      <c r="Z71"/>
      <c r="AA71"/>
      <c r="AB71"/>
      <c r="AC71"/>
      <c r="AD71"/>
      <c r="AE71"/>
      <c r="AH71" s="32"/>
      <c r="AI71" s="32"/>
    </row>
    <row r="72" spans="1:35" s="5" customFormat="1" ht="16.5" thickTop="1" thickBot="1" x14ac:dyDescent="0.3">
      <c r="E72" s="7"/>
      <c r="I72" s="48"/>
      <c r="L72" s="65" t="s">
        <v>41</v>
      </c>
      <c r="O72" s="86">
        <f>O64+O71</f>
        <v>2.9318565491990842</v>
      </c>
      <c r="P72" s="10" t="s">
        <v>40</v>
      </c>
      <c r="S72" s="7"/>
      <c r="T72"/>
      <c r="U72" s="7"/>
      <c r="V72" s="7"/>
      <c r="W72"/>
      <c r="X72" s="35"/>
      <c r="Y72" s="35"/>
      <c r="Z72"/>
      <c r="AA72" s="35"/>
      <c r="AB72" s="35"/>
      <c r="AC72" s="35"/>
      <c r="AD72"/>
      <c r="AE72"/>
      <c r="AF72"/>
      <c r="AH72" s="8"/>
      <c r="AI72" s="8"/>
    </row>
    <row r="73" spans="1:35" ht="15.75" thickBot="1" x14ac:dyDescent="0.3">
      <c r="A73" s="2" t="s">
        <v>43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4"/>
      <c r="S73" s="7"/>
      <c r="U73" s="7"/>
      <c r="V73" s="7"/>
      <c r="X73" s="35"/>
      <c r="Y73" s="35"/>
      <c r="AA73" s="35"/>
      <c r="AB73" s="35"/>
      <c r="AC73" s="35"/>
      <c r="AH73" s="8"/>
      <c r="AI73" s="8"/>
    </row>
    <row r="74" spans="1:35" ht="6" customHeight="1" x14ac:dyDescent="0.25">
      <c r="G74" s="134"/>
      <c r="H74" s="95"/>
      <c r="I74" s="95"/>
      <c r="J74" s="95"/>
      <c r="K74" s="95"/>
      <c r="L74" s="95"/>
      <c r="M74" s="95"/>
      <c r="N74" s="95"/>
      <c r="O74" s="95"/>
      <c r="P74" s="95"/>
      <c r="Q74" s="135"/>
      <c r="S74" s="7"/>
      <c r="T74" s="8"/>
      <c r="U74" s="7"/>
      <c r="V74" s="7"/>
      <c r="W74" s="8"/>
      <c r="X74" s="35"/>
      <c r="Y74" s="35"/>
      <c r="Z74" s="8"/>
      <c r="AA74" s="35"/>
      <c r="AB74" s="35"/>
      <c r="AC74" s="35"/>
      <c r="AH74" s="8"/>
      <c r="AI74" s="8"/>
    </row>
    <row r="75" spans="1:35" ht="15.75" x14ac:dyDescent="0.25">
      <c r="B75" s="1" t="s">
        <v>9</v>
      </c>
      <c r="C75" s="66">
        <f>(O64+O71)/C76</f>
        <v>1.4177256040614528</v>
      </c>
      <c r="D75" t="s">
        <v>33</v>
      </c>
      <c r="E75" s="1"/>
      <c r="G75" s="76" t="s">
        <v>146</v>
      </c>
      <c r="O75" s="1" t="s">
        <v>144</v>
      </c>
      <c r="P75" s="66">
        <f>N86/P76</f>
        <v>1.3963959666654149</v>
      </c>
      <c r="Q75" s="117" t="s">
        <v>33</v>
      </c>
      <c r="S75" s="7"/>
      <c r="U75" s="7"/>
      <c r="V75" s="7"/>
      <c r="X75" s="35"/>
      <c r="Y75" s="35"/>
      <c r="AA75" s="35"/>
      <c r="AB75" s="35"/>
      <c r="AC75" s="35"/>
      <c r="AH75" s="8"/>
      <c r="AI75" s="8"/>
    </row>
    <row r="76" spans="1:35" ht="15" customHeight="1" x14ac:dyDescent="0.35">
      <c r="B76" s="1" t="s">
        <v>31</v>
      </c>
      <c r="C76" s="66">
        <f>E18*E19/1000000</f>
        <v>2.0680000000000001</v>
      </c>
      <c r="D76" t="s">
        <v>32</v>
      </c>
      <c r="E76" s="1"/>
      <c r="F76" s="90" t="str">
        <f>IF(I64=C76," ","oppervlakte onderdelen niet correct")</f>
        <v xml:space="preserve"> </v>
      </c>
      <c r="G76" s="76" t="s">
        <v>147</v>
      </c>
      <c r="H76" s="5"/>
      <c r="O76" s="1" t="s">
        <v>145</v>
      </c>
      <c r="P76" s="66">
        <f>L82*L81/1000000</f>
        <v>2.3347720000000001</v>
      </c>
      <c r="Q76" s="117" t="s">
        <v>32</v>
      </c>
      <c r="AH76" s="8"/>
      <c r="AI76" s="8"/>
    </row>
    <row r="77" spans="1:35" ht="15" customHeight="1" x14ac:dyDescent="0.35">
      <c r="B77" s="1"/>
      <c r="C77" s="66"/>
      <c r="E77" s="1"/>
      <c r="F77" s="90"/>
      <c r="G77" s="76" t="s">
        <v>148</v>
      </c>
      <c r="H77" s="5"/>
      <c r="O77" s="1"/>
      <c r="P77" s="66"/>
      <c r="Q77" s="117"/>
      <c r="AH77" s="8"/>
      <c r="AI77" s="8"/>
    </row>
    <row r="78" spans="1:35" ht="12" customHeight="1" thickBot="1" x14ac:dyDescent="0.3">
      <c r="G78" s="136" t="s">
        <v>149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37"/>
      <c r="AH78" s="8"/>
      <c r="AI78" s="8"/>
    </row>
    <row r="79" spans="1:35" ht="15.75" thickBot="1" x14ac:dyDescent="0.3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4"/>
      <c r="AH79" s="8"/>
      <c r="AI79" s="8"/>
    </row>
    <row r="80" spans="1:35" hidden="1" x14ac:dyDescent="0.25">
      <c r="G80" s="119" t="s">
        <v>150</v>
      </c>
      <c r="H80" s="95"/>
      <c r="I80" s="120">
        <v>2410</v>
      </c>
      <c r="J80" s="120" t="s">
        <v>151</v>
      </c>
      <c r="K80" s="120" t="s">
        <v>152</v>
      </c>
      <c r="L80" s="120" t="s">
        <v>153</v>
      </c>
      <c r="M80" s="121"/>
      <c r="N80" s="121" t="s">
        <v>154</v>
      </c>
      <c r="O80" s="95"/>
      <c r="P80" s="122"/>
    </row>
    <row r="81" spans="7:16" hidden="1" x14ac:dyDescent="0.25">
      <c r="G81" s="123" t="s">
        <v>50</v>
      </c>
      <c r="H81" s="124"/>
      <c r="I81" s="124"/>
      <c r="J81" s="125">
        <v>67</v>
      </c>
      <c r="K81" s="126">
        <v>1.1100000000000001</v>
      </c>
      <c r="L81" s="125">
        <v>1034</v>
      </c>
      <c r="M81" s="8" t="s">
        <v>155</v>
      </c>
      <c r="N81" s="25">
        <f>J81*K81*L81/1000000</f>
        <v>7.6898580000000008E-2</v>
      </c>
      <c r="P81" s="127"/>
    </row>
    <row r="82" spans="7:16" hidden="1" x14ac:dyDescent="0.25">
      <c r="G82" s="128" t="s">
        <v>156</v>
      </c>
      <c r="J82" s="8">
        <v>67</v>
      </c>
      <c r="K82" s="25">
        <v>1.1100000000000001</v>
      </c>
      <c r="L82" s="8">
        <f>I80-J81-J84-L83</f>
        <v>2258</v>
      </c>
      <c r="M82" s="8" t="s">
        <v>155</v>
      </c>
      <c r="N82" s="25">
        <f t="shared" ref="N82:N85" si="4">J82*K82*L82/1000000</f>
        <v>0.16792746000000003</v>
      </c>
      <c r="P82" s="127"/>
    </row>
    <row r="83" spans="7:16" hidden="1" x14ac:dyDescent="0.25">
      <c r="G83" s="128" t="s">
        <v>157</v>
      </c>
      <c r="J83" s="8">
        <v>67</v>
      </c>
      <c r="K83" s="25">
        <v>3.37</v>
      </c>
      <c r="L83" s="8">
        <v>30</v>
      </c>
      <c r="M83" s="8" t="s">
        <v>155</v>
      </c>
      <c r="N83" s="25">
        <f t="shared" si="4"/>
        <v>6.7737000000000006E-3</v>
      </c>
      <c r="P83" s="127"/>
    </row>
    <row r="84" spans="7:16" hidden="1" x14ac:dyDescent="0.25">
      <c r="G84" s="128" t="s">
        <v>158</v>
      </c>
      <c r="J84" s="8">
        <v>55</v>
      </c>
      <c r="K84" s="25">
        <v>1.57</v>
      </c>
      <c r="L84" s="8">
        <v>1034</v>
      </c>
      <c r="M84" s="8" t="s">
        <v>155</v>
      </c>
      <c r="N84" s="25">
        <f t="shared" si="4"/>
        <v>8.9285900000000015E-2</v>
      </c>
      <c r="P84" s="127"/>
    </row>
    <row r="85" spans="7:16" ht="15.75" hidden="1" thickBot="1" x14ac:dyDescent="0.3">
      <c r="G85" s="128" t="s">
        <v>0</v>
      </c>
      <c r="J85" s="8">
        <f>L81-J81-J82</f>
        <v>900</v>
      </c>
      <c r="K85" s="25">
        <f>C75</f>
        <v>1.4177256040614528</v>
      </c>
      <c r="L85" s="8">
        <f>I80-J81-J84</f>
        <v>2288</v>
      </c>
      <c r="M85" s="8" t="s">
        <v>155</v>
      </c>
      <c r="N85" s="25">
        <f t="shared" si="4"/>
        <v>2.9193805638833439</v>
      </c>
      <c r="P85" s="127"/>
    </row>
    <row r="86" spans="7:16" ht="15.75" hidden="1" thickTop="1" x14ac:dyDescent="0.25">
      <c r="G86" s="128"/>
      <c r="N86" s="129">
        <f>SUM(N81:N85)</f>
        <v>3.2602662038833441</v>
      </c>
      <c r="O86" t="s">
        <v>57</v>
      </c>
      <c r="P86" s="127"/>
    </row>
    <row r="87" spans="7:16" hidden="1" x14ac:dyDescent="0.25">
      <c r="G87" s="130" t="s">
        <v>159</v>
      </c>
      <c r="P87" s="127"/>
    </row>
    <row r="88" spans="7:16" hidden="1" x14ac:dyDescent="0.25">
      <c r="G88" s="131" t="s">
        <v>160</v>
      </c>
      <c r="H88" s="132"/>
      <c r="I88" s="132"/>
      <c r="J88" s="132"/>
      <c r="K88" s="132"/>
      <c r="L88" s="132"/>
      <c r="M88" s="132"/>
      <c r="N88" s="132"/>
      <c r="O88" s="132"/>
      <c r="P88" s="133"/>
    </row>
    <row r="89" spans="7:16" hidden="1" x14ac:dyDescent="0.25"/>
  </sheetData>
  <sheetProtection algorithmName="SHA-512" hashValue="Trp4L6M51vy7qAwgKVSh0Z+kugfAG7jhRvJoromva4qUWb5SdOi+vnVE+ndwWqmVjCzrhkxgKnZsDihQBdPpHA==" saltValue="OrSMkdjdT/W+Lo2BZU/DIA==" spinCount="100000" sheet="1" objects="1" scenarios="1"/>
  <dataValidations disablePrompts="1" count="10">
    <dataValidation type="list" allowBlank="1" showInputMessage="1" showErrorMessage="1" sqref="E20" xr:uid="{E1068202-D5F4-4A2B-96D7-310FBD2E2027}">
      <formula1>thi</formula1>
    </dataValidation>
    <dataValidation type="list" allowBlank="1" showInputMessage="1" showErrorMessage="1" sqref="E21" xr:uid="{AB3E62E7-0163-4801-8BB0-A6C623664979}">
      <formula1>Hout</formula1>
    </dataValidation>
    <dataValidation type="list" allowBlank="1" showInputMessage="1" showErrorMessage="1" sqref="E24:E25" xr:uid="{8EA20E29-14E2-458D-BD1C-7403EE529602}">
      <formula1>Bree</formula1>
    </dataValidation>
    <dataValidation type="list" allowBlank="1" showInputMessage="1" showErrorMessage="1" sqref="E26" xr:uid="{1312C5BB-FEBD-4074-B855-7DA74AA7103B}">
      <formula1>borstw</formula1>
    </dataValidation>
    <dataValidation type="list" allowBlank="1" showInputMessage="1" showErrorMessage="1" sqref="E53" xr:uid="{1EC4A422-EDB9-403B-832E-6FB116C01A62}">
      <formula1>Stapeling</formula1>
    </dataValidation>
    <dataValidation type="list" allowBlank="1" showInputMessage="1" showErrorMessage="1" sqref="E52" xr:uid="{4F11364E-1076-4C5A-9225-BBC8E087C150}">
      <formula1>Psi</formula1>
    </dataValidation>
    <dataValidation type="list" allowBlank="1" showInputMessage="1" showErrorMessage="1" sqref="V52:V54" xr:uid="{4DA40F5F-C7AF-44F9-B24E-907A1D7F515D}">
      <formula1>VV</formula1>
    </dataValidation>
    <dataValidation type="list" allowBlank="1" showInputMessage="1" showErrorMessage="1" sqref="Y36" xr:uid="{F3F40DA6-EADB-47E7-9CAE-0DE82B9456B6}">
      <formula1>"ger"</formula1>
    </dataValidation>
    <dataValidation type="list" allowBlank="1" showInputMessage="1" showErrorMessage="1" sqref="Y37" xr:uid="{EDEF996E-668C-4173-BA41-A1F8037D98BA}">
      <formula1>"ge"</formula1>
    </dataValidation>
    <dataValidation type="list" allowBlank="1" showInputMessage="1" showErrorMessage="1" error="dd" promptTitle="dd" prompt="dd" sqref="E43" xr:uid="{C5B70ADE-8F4E-4069-807F-01B16BF98186}">
      <formula1>panel</formula1>
    </dataValidation>
  </dataValidations>
  <pageMargins left="0.9055118110236221" right="0.39370078740157483" top="0.94488188976377963" bottom="0.55118110236220474" header="0.31496062992125984" footer="0.31496062992125984"/>
  <pageSetup paperSize="9" scale="67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5"/>
  <sheetViews>
    <sheetView workbookViewId="0">
      <selection activeCell="F8" sqref="F8"/>
    </sheetView>
  </sheetViews>
  <sheetFormatPr defaultRowHeight="15" x14ac:dyDescent="0.25"/>
  <sheetData>
    <row r="1" spans="3:4" x14ac:dyDescent="0.25">
      <c r="C1">
        <v>39</v>
      </c>
      <c r="D1" t="s">
        <v>5</v>
      </c>
    </row>
    <row r="2" spans="3:4" x14ac:dyDescent="0.25">
      <c r="C2">
        <v>54</v>
      </c>
      <c r="D2">
        <v>20</v>
      </c>
    </row>
    <row r="3" spans="3:4" x14ac:dyDescent="0.25">
      <c r="C3">
        <v>67</v>
      </c>
      <c r="D3">
        <v>30</v>
      </c>
    </row>
    <row r="4" spans="3:4" x14ac:dyDescent="0.25">
      <c r="C4">
        <v>88</v>
      </c>
      <c r="D4">
        <v>40</v>
      </c>
    </row>
    <row r="5" spans="3:4" x14ac:dyDescent="0.25">
      <c r="D5">
        <v>50</v>
      </c>
    </row>
  </sheetData>
  <dataValidations count="1">
    <dataValidation type="list" allowBlank="1" showInputMessage="1" showErrorMessage="1" sqref="F8" xr:uid="{540F4173-B23A-4D86-A34C-3B409F96B93D}">
      <formula1>dik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g D A A B Q S w M E F A A C A A g A H Y r 9 V N M w r h i k A A A A 9 w A A A B I A H A B D b 2 5 m a W c v U G F j a 2 F n Z S 5 4 b W w g o h g A K K A U A A A A A A A A A A A A A A A A A A A A A A A A A A A A h Y 9 N D o I w G E S v Q r q n f y a G k I + y c A v G x M S 4 b U r F R i i G F s v d X H g k r y B G U X c u 5 8 1 b z N y v N 8 j H t o k u u n e m s x l i m K J I W 9 V V x t Y Z G v w h T l A u Y C P V S d Y 6 m m T r 0 t F V G T p 6 f 0 4 J C S H g s M B d X x N O K S P 7 s t i q o 2 4 l + s j m v x w b 6 7 y 0 S i M B u 9 c Y w T G j S 8 x Y w j E F M l M o j f 0 a f B r 8 b H 8 g r I b G D 7 0 W t o n X B Z A 5 A n m f E A 9 Q S w M E F A A C A A g A H Y r 9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2 K / V S j 9 r V q o g A A A N U A A A A T A B w A R m 9 y b X V s Y X M v U 2 V j d G l v b j E u b S C i G A A o o B Q A A A A A A A A A A A A A A A A A A A A A A A A A A A B 1 j b E K g z A U R f d A / i G k i 4 I I z u J S 6 V T o U q G D O E R 9 t a l J X k k i t R X / v R H n 3 u U u 5 9 z r o P M S D b v u n e W U U O I e w k L P K t G C y l j B F H h K W M j R B r R g p 7 k D l Z a T t W D 8 D e 3 Y I o 5 R v N Q X o a H g u 8 e b t S 7 R + I A 0 y a 4 f e P V 5 A R v g L Z 9 f O f Q 8 b A V Y Q V p Z Y d w d r S 5 R T d p s m I u 2 t 2 R Z + B k V 6 o w n z G + 2 h 9 m v a 0 y J N H 9 W 8 x 9 Q S w E C L Q A U A A I A C A A d i v 1 U 0 z C u G K Q A A A D 3 A A A A E g A A A A A A A A A A A A A A A A A A A A A A Q 2 9 u Z m l n L 1 B h Y 2 t h Z 2 U u e G 1 s U E s B A i 0 A F A A C A A g A H Y r 9 V A / K 6 a u k A A A A 6 Q A A A B M A A A A A A A A A A A A A A A A A 8 A A A A F t D b 2 5 0 Z W 5 0 X 1 R 5 c G V z X S 5 4 b W x Q S w E C L Q A U A A I A C A A d i v 1 U o / a 1 a q I A A A D V A A A A E w A A A A A A A A A A A A A A A A D h A Q A A R m 9 y b X V s Y X M v U 2 V j d G l v b j E u b V B L B Q Y A A A A A A w A D A M I A A A D Q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k B w A A A A A A A M I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U i I C 8 + P E V u d H J 5 I F R 5 c G U 9 I k Z p b G x U Y X J n Z X Q i I F Z h b H V l P S J z V G F i Z W w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l U M T U 6 M T Y 6 N T g u O D U w O D U y N 1 o i I C 8 + P E V u d H J 5 I F R 5 c G U 9 I k Z p b G x D b 2 x 1 b W 5 U e X B l c y I g V m F s d W U 9 I n N C Z z 0 9 I i A v P j x F b n R y e S B U e X B l P S J G a W x s Q 2 9 s d W 1 u T m F t Z X M i I F Z h b H V l P S J z W y Z x d W 9 0 O 0 t v b G 9 t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t L b 2 x v b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w x L 0 F 1 d G 9 S Z W 1 v d m V k Q 2 9 s d W 1 u c z E u e 0 t v b G 9 t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x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v V H l w Z S U y M G d l d 2 l q e m l n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g V p p V M K I K T I G P N P D u Y w 3 j A A A A A A I A A A A A A B B m A A A A A Q A A I A A A A B f Y e x T t B + 9 G O U c A y h e G i 7 w D I w D m t k W a j O j + l E 2 b T t J 4 A A A A A A 6 A A A A A A g A A I A A A A B h j 0 V T l w u g Y i M C v 3 h Y Y r T 8 Q t h V u X q z a u u t J f g m r A k t / U A A A A F 5 y Q B u D G K I N g t t X s V c / p a P Z 4 4 W A R x 0 q m 3 F P 1 o d V d P k t f w 0 B v y m E e I w M 8 J K 9 1 / k A Z f j a A E M M s R W + L R W R p 4 m 6 L R 0 k I w M H h o D t C y t + S c 6 a j J 4 + Q A A A A L + y n k m i 7 j j A 8 Q 4 O n l L W d b W O g I 4 y L S y e U t Y R h h y v w Q r c 4 y y w y 5 S D b N / A q j 6 4 0 E 2 9 V 3 r i z r b u I r u p p t q B Q x s P K d c = < / D a t a M a s h u p > 
</file>

<file path=customXml/itemProps1.xml><?xml version="1.0" encoding="utf-8"?>
<ds:datastoreItem xmlns:ds="http://schemas.openxmlformats.org/officeDocument/2006/customXml" ds:itemID="{F6246471-E190-434C-BC1D-11ADDFB29A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39</vt:i4>
      </vt:variant>
    </vt:vector>
  </HeadingPairs>
  <TitlesOfParts>
    <vt:vector size="42" baseType="lpstr">
      <vt:lpstr>Tabel1</vt:lpstr>
      <vt:lpstr>Blad1</vt:lpstr>
      <vt:lpstr>Blad2</vt:lpstr>
      <vt:lpstr>a</vt:lpstr>
      <vt:lpstr>Blad1!Afdrukbereik</vt:lpstr>
      <vt:lpstr>B</vt:lpstr>
      <vt:lpstr>borstw</vt:lpstr>
      <vt:lpstr>Bree</vt:lpstr>
      <vt:lpstr>Breed</vt:lpstr>
      <vt:lpstr>Breed2</vt:lpstr>
      <vt:lpstr>Bw</vt:lpstr>
      <vt:lpstr>Bwe</vt:lpstr>
      <vt:lpstr>d</vt:lpstr>
      <vt:lpstr>di</vt:lpstr>
      <vt:lpstr>dik</vt:lpstr>
      <vt:lpstr>e</vt:lpstr>
      <vt:lpstr>f</vt:lpstr>
      <vt:lpstr>g</vt:lpstr>
      <vt:lpstr>ge</vt:lpstr>
      <vt:lpstr>ger</vt:lpstr>
      <vt:lpstr>Ho</vt:lpstr>
      <vt:lpstr>Hout</vt:lpstr>
      <vt:lpstr>I</vt:lpstr>
      <vt:lpstr>jan</vt:lpstr>
      <vt:lpstr>KL</vt:lpstr>
      <vt:lpstr>klaas</vt:lpstr>
      <vt:lpstr>leo</vt:lpstr>
      <vt:lpstr>m</vt:lpstr>
      <vt:lpstr>P</vt:lpstr>
      <vt:lpstr>Paneel</vt:lpstr>
      <vt:lpstr>panel</vt:lpstr>
      <vt:lpstr>Piet</vt:lpstr>
      <vt:lpstr>Psi</vt:lpstr>
      <vt:lpstr>Stapeling</vt:lpstr>
      <vt:lpstr>T</vt:lpstr>
      <vt:lpstr>taal</vt:lpstr>
      <vt:lpstr>th</vt:lpstr>
      <vt:lpstr>thi</vt:lpstr>
      <vt:lpstr>v</vt:lpstr>
      <vt:lpstr>w</vt:lpstr>
      <vt:lpstr>we</vt:lpstr>
      <vt:lpstr>x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 Roest</cp:lastModifiedBy>
  <cp:lastPrinted>2018-08-06T13:05:19Z</cp:lastPrinted>
  <dcterms:created xsi:type="dcterms:W3CDTF">2018-01-18T13:34:58Z</dcterms:created>
  <dcterms:modified xsi:type="dcterms:W3CDTF">2025-04-28T12:37:38Z</dcterms:modified>
</cp:coreProperties>
</file>